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Sonin.AA\Desktop\"/>
    </mc:Choice>
  </mc:AlternateContent>
  <xr:revisionPtr revIDLastSave="0" documentId="13_ncr:1_{FDF7E021-B039-4950-924B-CF87A57D50BE}" xr6:coauthVersionLast="36" xr6:coauthVersionMax="36" xr10:uidLastSave="{00000000-0000-0000-0000-000000000000}"/>
  <bookViews>
    <workbookView xWindow="0" yWindow="0" windowWidth="28800" windowHeight="11925" tabRatio="681" activeTab="4" xr2:uid="{00000000-000D-0000-FFFF-FFFF00000000}"/>
  </bookViews>
  <sheets>
    <sheet name="Contents" sheetId="7" r:id="rId1"/>
    <sheet name="Top Hung" sheetId="5" r:id="rId2"/>
    <sheet name="Folding" sheetId="4" r:id="rId3"/>
    <sheet name="Pivot" sheetId="3" r:id="rId4"/>
    <sheet name="Fixed" sheetId="1" r:id="rId5"/>
  </sheets>
  <calcPr calcId="191029"/>
</workbook>
</file>

<file path=xl/calcChain.xml><?xml version="1.0" encoding="utf-8"?>
<calcChain xmlns="http://schemas.openxmlformats.org/spreadsheetml/2006/main">
  <c r="J13" i="3" l="1"/>
  <c r="D19" i="5"/>
  <c r="D20" i="5"/>
  <c r="K5" i="5" l="1"/>
  <c r="F35" i="5" s="1"/>
  <c r="L16" i="5"/>
  <c r="M15" i="5"/>
  <c r="M16" i="5"/>
  <c r="J16" i="5"/>
  <c r="K16" i="5" s="1"/>
  <c r="N37" i="5"/>
  <c r="N28" i="5"/>
  <c r="N46" i="5" s="1"/>
  <c r="N23" i="5"/>
  <c r="N24" i="5" s="1"/>
  <c r="N29" i="5"/>
  <c r="N30" i="5"/>
  <c r="M14" i="5"/>
  <c r="N32" i="5" s="1"/>
  <c r="L11" i="5"/>
  <c r="N33" i="5"/>
  <c r="N35" i="5"/>
  <c r="G34" i="5"/>
  <c r="G35" i="5"/>
  <c r="G36" i="5"/>
  <c r="G37" i="5"/>
  <c r="G38" i="5"/>
  <c r="K6" i="5"/>
  <c r="L10" i="5" s="1"/>
  <c r="N41" i="5" s="1"/>
  <c r="N42" i="5" s="1"/>
  <c r="AB4" i="5"/>
  <c r="N38" i="5"/>
  <c r="N39" i="5"/>
  <c r="N40" i="5"/>
  <c r="M10" i="5"/>
  <c r="N45" i="5"/>
  <c r="N27" i="5"/>
  <c r="N34" i="5"/>
  <c r="N44" i="5"/>
  <c r="K6" i="4"/>
  <c r="N37" i="4" s="1"/>
  <c r="V2" i="1"/>
  <c r="K6" i="1"/>
  <c r="L10" i="1" s="1"/>
  <c r="L13" i="1"/>
  <c r="J13" i="1"/>
  <c r="K13" i="1" s="1"/>
  <c r="W2" i="3"/>
  <c r="K6" i="3"/>
  <c r="L10" i="3" s="1"/>
  <c r="N32" i="3" s="1"/>
  <c r="N33" i="3" s="1"/>
  <c r="K13" i="3"/>
  <c r="U2" i="4"/>
  <c r="J16" i="4"/>
  <c r="K16" i="4" s="1"/>
  <c r="N29" i="3"/>
  <c r="K5" i="3"/>
  <c r="F29" i="3" s="1"/>
  <c r="M11" i="3"/>
  <c r="M12" i="3"/>
  <c r="N35" i="3"/>
  <c r="N20" i="3"/>
  <c r="P56" i="4"/>
  <c r="Q56" i="3"/>
  <c r="P56" i="1"/>
  <c r="P55" i="4"/>
  <c r="Q55" i="3"/>
  <c r="P55" i="1"/>
  <c r="P58" i="4"/>
  <c r="Q58" i="3"/>
  <c r="P58" i="1"/>
  <c r="P54" i="4"/>
  <c r="Q54" i="3"/>
  <c r="P54" i="1"/>
  <c r="Q52" i="3"/>
  <c r="P52" i="1"/>
  <c r="P52" i="4"/>
  <c r="P59" i="4"/>
  <c r="Q59" i="3"/>
  <c r="P59" i="1"/>
  <c r="P57" i="4"/>
  <c r="Q57" i="3"/>
  <c r="P57" i="1"/>
  <c r="P53" i="4"/>
  <c r="Q53" i="3"/>
  <c r="P53" i="1"/>
  <c r="M12" i="5"/>
  <c r="L12" i="5"/>
  <c r="N38" i="4"/>
  <c r="K5" i="4"/>
  <c r="F29" i="4" s="1"/>
  <c r="N36" i="4"/>
  <c r="M13" i="5"/>
  <c r="M11" i="5"/>
  <c r="O11" i="5" s="1"/>
  <c r="L13" i="5"/>
  <c r="G30" i="4"/>
  <c r="G31" i="4"/>
  <c r="G32" i="4"/>
  <c r="G29" i="4"/>
  <c r="N29" i="4"/>
  <c r="N24" i="3"/>
  <c r="N30" i="1"/>
  <c r="N29" i="1"/>
  <c r="G27" i="1"/>
  <c r="G28" i="1"/>
  <c r="G29" i="1"/>
  <c r="G26" i="1"/>
  <c r="G25" i="1"/>
  <c r="N24" i="1"/>
  <c r="M17" i="1"/>
  <c r="M16" i="1"/>
  <c r="M13" i="1"/>
  <c r="M11" i="1"/>
  <c r="L16" i="1"/>
  <c r="K5" i="1"/>
  <c r="D5" i="1" s="1"/>
  <c r="C21" i="1"/>
  <c r="L15" i="1"/>
  <c r="M15" i="1" s="1"/>
  <c r="L14" i="1"/>
  <c r="M14" i="1" s="1"/>
  <c r="N34" i="3"/>
  <c r="N26" i="1"/>
  <c r="I29" i="1"/>
  <c r="I28" i="1"/>
  <c r="I27" i="1"/>
  <c r="I26" i="1"/>
  <c r="N32" i="4"/>
  <c r="N28" i="4"/>
  <c r="N27" i="4"/>
  <c r="N26" i="4"/>
  <c r="N25" i="4"/>
  <c r="N24" i="4"/>
  <c r="N23" i="4"/>
  <c r="L17" i="4"/>
  <c r="L12" i="4"/>
  <c r="L11" i="4"/>
  <c r="O11" i="4" s="1"/>
  <c r="C24" i="4"/>
  <c r="G28" i="4"/>
  <c r="I32" i="4"/>
  <c r="I31" i="4"/>
  <c r="I30" i="4"/>
  <c r="I29" i="4"/>
  <c r="N36" i="3"/>
  <c r="N25" i="3"/>
  <c r="N23" i="3"/>
  <c r="N22" i="3"/>
  <c r="N21" i="3"/>
  <c r="F30" i="4"/>
  <c r="F32" i="4"/>
  <c r="H32" i="4" s="1"/>
  <c r="L14" i="3"/>
  <c r="M13" i="3"/>
  <c r="M10" i="3"/>
  <c r="I33" i="3"/>
  <c r="I32" i="3"/>
  <c r="I31" i="3"/>
  <c r="I30" i="3"/>
  <c r="C25" i="3"/>
  <c r="G33" i="3"/>
  <c r="G32" i="3"/>
  <c r="G31" i="3"/>
  <c r="G30" i="3"/>
  <c r="G29" i="3"/>
  <c r="N31" i="3"/>
  <c r="N43" i="5"/>
  <c r="D6" i="5"/>
  <c r="I35" i="5"/>
  <c r="I36" i="5"/>
  <c r="I37" i="5"/>
  <c r="I38" i="5"/>
  <c r="D30" i="5"/>
  <c r="N39" i="4"/>
  <c r="D6" i="1"/>
  <c r="M12" i="1"/>
  <c r="M10" i="1"/>
  <c r="N28" i="1"/>
  <c r="N33" i="4"/>
  <c r="N30" i="3"/>
  <c r="M13" i="4"/>
  <c r="M12" i="4"/>
  <c r="M10" i="4"/>
  <c r="M17" i="4"/>
  <c r="M16" i="4"/>
  <c r="M15" i="4"/>
  <c r="M14" i="4"/>
  <c r="N30" i="4"/>
  <c r="N27" i="3"/>
  <c r="M14" i="3"/>
  <c r="O14" i="3" s="1"/>
  <c r="M11" i="4"/>
  <c r="D5" i="5" l="1"/>
  <c r="L14" i="5"/>
  <c r="L15" i="5"/>
  <c r="O15" i="5" s="1"/>
  <c r="F37" i="5"/>
  <c r="N16" i="5"/>
  <c r="L14" i="4"/>
  <c r="O17" i="4"/>
  <c r="F34" i="5"/>
  <c r="L13" i="4"/>
  <c r="O13" i="4" s="1"/>
  <c r="L15" i="4"/>
  <c r="E25" i="1"/>
  <c r="I25" i="1" s="1"/>
  <c r="N31" i="4"/>
  <c r="N11" i="4"/>
  <c r="D6" i="3"/>
  <c r="N16" i="1"/>
  <c r="F38" i="5"/>
  <c r="H38" i="5" s="1"/>
  <c r="F36" i="5"/>
  <c r="H36" i="5" s="1"/>
  <c r="N11" i="5"/>
  <c r="N12" i="5"/>
  <c r="N15" i="5"/>
  <c r="N14" i="5"/>
  <c r="O16" i="5"/>
  <c r="O12" i="5"/>
  <c r="E34" i="5"/>
  <c r="I34" i="5" s="1"/>
  <c r="C44" i="5" s="1"/>
  <c r="H37" i="5"/>
  <c r="D17" i="5"/>
  <c r="N31" i="5" s="1"/>
  <c r="N25" i="5" s="1"/>
  <c r="O10" i="5"/>
  <c r="H35" i="5"/>
  <c r="O14" i="5"/>
  <c r="O14" i="4"/>
  <c r="N14" i="4"/>
  <c r="L16" i="4"/>
  <c r="N16" i="4" s="1"/>
  <c r="N35" i="4"/>
  <c r="N17" i="4"/>
  <c r="H30" i="4"/>
  <c r="H29" i="4"/>
  <c r="F31" i="4"/>
  <c r="H31" i="4" s="1"/>
  <c r="N14" i="3"/>
  <c r="E29" i="3"/>
  <c r="H29" i="3" s="1"/>
  <c r="O10" i="3"/>
  <c r="L13" i="3"/>
  <c r="N13" i="3" s="1"/>
  <c r="O16" i="1"/>
  <c r="O10" i="1"/>
  <c r="O13" i="1"/>
  <c r="N25" i="1"/>
  <c r="N13" i="1"/>
  <c r="O14" i="1"/>
  <c r="F25" i="1"/>
  <c r="F27" i="1"/>
  <c r="H27" i="1" s="1"/>
  <c r="F29" i="1"/>
  <c r="H29" i="1" s="1"/>
  <c r="N31" i="1"/>
  <c r="N32" i="1" s="1"/>
  <c r="F26" i="1"/>
  <c r="H26" i="1" s="1"/>
  <c r="L11" i="1"/>
  <c r="L17" i="1" s="1"/>
  <c r="F28" i="1"/>
  <c r="H28" i="1" s="1"/>
  <c r="N14" i="1"/>
  <c r="L12" i="1"/>
  <c r="F32" i="3"/>
  <c r="H32" i="3" s="1"/>
  <c r="F33" i="3"/>
  <c r="H33" i="3" s="1"/>
  <c r="N26" i="3"/>
  <c r="L11" i="3"/>
  <c r="N11" i="3" s="1"/>
  <c r="L12" i="3"/>
  <c r="N12" i="3" s="1"/>
  <c r="F30" i="3"/>
  <c r="H30" i="3" s="1"/>
  <c r="D5" i="3"/>
  <c r="F31" i="3"/>
  <c r="H31" i="3" s="1"/>
  <c r="N12" i="4"/>
  <c r="N13" i="4"/>
  <c r="F28" i="4"/>
  <c r="D5" i="4"/>
  <c r="L10" i="4"/>
  <c r="O10" i="4" s="1"/>
  <c r="D6" i="4"/>
  <c r="O12" i="4"/>
  <c r="E28" i="4"/>
  <c r="N34" i="4" s="1"/>
  <c r="H25" i="1" l="1"/>
  <c r="N36" i="5"/>
  <c r="O16" i="4"/>
  <c r="N15" i="4"/>
  <c r="O15" i="4"/>
  <c r="C40" i="5"/>
  <c r="D40" i="5" s="1"/>
  <c r="H34" i="5"/>
  <c r="H39" i="5" s="1"/>
  <c r="I29" i="3"/>
  <c r="C35" i="3" s="1"/>
  <c r="E35" i="3" s="1"/>
  <c r="N26" i="5"/>
  <c r="N28" i="3"/>
  <c r="O13" i="3"/>
  <c r="N27" i="1"/>
  <c r="O17" i="1"/>
  <c r="N17" i="1"/>
  <c r="H30" i="1"/>
  <c r="O12" i="1"/>
  <c r="N12" i="1"/>
  <c r="N11" i="1"/>
  <c r="O11" i="1"/>
  <c r="C31" i="1"/>
  <c r="E31" i="1" s="1"/>
  <c r="C35" i="1"/>
  <c r="H34" i="3"/>
  <c r="O11" i="3"/>
  <c r="O12" i="3"/>
  <c r="I28" i="4"/>
  <c r="C38" i="4" s="1"/>
  <c r="H28" i="4"/>
  <c r="H33" i="4" s="1"/>
  <c r="C39" i="3" l="1"/>
  <c r="C34" i="4"/>
  <c r="E34" i="4" s="1"/>
</calcChain>
</file>

<file path=xl/sharedStrings.xml><?xml version="1.0" encoding="utf-8"?>
<sst xmlns="http://schemas.openxmlformats.org/spreadsheetml/2006/main" count="577" uniqueCount="222">
  <si>
    <t xml:space="preserve"> 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</si>
  <si>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</si>
  <si>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</si>
  <si>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</si>
  <si>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</si>
  <si>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</si>
  <si>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</si>
  <si>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</si>
  <si>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</si>
  <si>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</si>
  <si>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</si>
  <si>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</si>
  <si>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</si>
  <si>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</si>
  <si>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</si>
  <si>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</si>
  <si>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</si>
  <si>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</si>
  <si>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</si>
  <si>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</si>
  <si>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</si>
  <si>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</si>
  <si>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</si>
  <si>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</si>
  <si>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</si>
  <si>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</si>
  <si>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</si>
  <si>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</si>
  <si>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</si>
  <si>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</si>
  <si>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</si>
  <si>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</si>
  <si>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</si>
  <si>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</si>
  <si>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FH0010.CR000</t>
  </si>
  <si>
    <t>FH0030.VS000</t>
  </si>
  <si>
    <t>FH0050.BR000</t>
  </si>
  <si>
    <t>FH0020.VP000</t>
  </si>
  <si>
    <t>FH0090.BS000</t>
  </si>
  <si>
    <t>FH0061.VP000</t>
  </si>
  <si>
    <t>FH0062.VP000</t>
  </si>
  <si>
    <t>FH0070.VP000</t>
  </si>
  <si>
    <t>FH0171.VP000</t>
  </si>
  <si>
    <t>FH0031.VP000</t>
  </si>
  <si>
    <t>FH0101.VP000</t>
  </si>
  <si>
    <t>FH0102.VP000</t>
  </si>
  <si>
    <t>FF0004.VP000</t>
  </si>
  <si>
    <t>Серебро матовое</t>
  </si>
  <si>
    <t>FP0000.VS000</t>
  </si>
  <si>
    <t>AS0640.VP540</t>
  </si>
  <si>
    <t>AA0996.VM100</t>
  </si>
  <si>
    <t>FH0023.VS000</t>
  </si>
  <si>
    <t>FH0024.VS000</t>
  </si>
  <si>
    <t>Черный матовый</t>
  </si>
  <si>
    <t>Слоновая кость</t>
  </si>
  <si>
    <t>Белый матовый</t>
  </si>
  <si>
    <t xml:space="preserve">Венге темный </t>
  </si>
  <si>
    <t>Дуб белый</t>
  </si>
  <si>
    <t xml:space="preserve"> медь античная*</t>
  </si>
  <si>
    <t>сталь воронёная*</t>
  </si>
  <si>
    <t>Calculation of dimensions, quantity and cost for Top Hung Doors</t>
  </si>
  <si>
    <t>Entering Initial Data for the Calculation</t>
  </si>
  <si>
    <t>Calculation Result</t>
  </si>
  <si>
    <t>Name</t>
  </si>
  <si>
    <t>Door Width:</t>
  </si>
  <si>
    <t>Door Height:</t>
  </si>
  <si>
    <t>Dimensions</t>
  </si>
  <si>
    <r>
      <rPr>
        <b/>
        <sz val="12"/>
        <color rgb="FFFF0000"/>
        <rFont val="Calibri"/>
        <family val="2"/>
        <charset val="204"/>
        <scheme val="minor"/>
      </rPr>
      <t>One Door</t>
    </r>
    <r>
      <rPr>
        <b/>
        <sz val="12"/>
        <rFont val="Calibri"/>
        <family val="2"/>
        <charset val="204"/>
        <scheme val="minor"/>
      </rPr>
      <t xml:space="preserve"> Dimesions:</t>
    </r>
  </si>
  <si>
    <t>Width of the opening</t>
  </si>
  <si>
    <t>Height of the door opening</t>
  </si>
  <si>
    <t>Number of dividing rails for one door</t>
  </si>
  <si>
    <t>Dividing rail configuration</t>
  </si>
  <si>
    <t>Installation option</t>
  </si>
  <si>
    <t>Number of doors</t>
  </si>
  <si>
    <t>Door sequential opening direction</t>
  </si>
  <si>
    <t>Synchronous Mechanism</t>
  </si>
  <si>
    <t>Soft Closer</t>
  </si>
  <si>
    <t>Cut-in Handle</t>
  </si>
  <si>
    <t>Element for hiding the door holes</t>
  </si>
  <si>
    <t>Ground Roller Adjustable Plate</t>
  </si>
  <si>
    <t>Lock Fusion for One-level Doors</t>
  </si>
  <si>
    <t>Lock Fusion for Two-level Doors</t>
  </si>
  <si>
    <t>Criterion</t>
  </si>
  <si>
    <t>Data</t>
  </si>
  <si>
    <t>Clarification</t>
  </si>
  <si>
    <t>HOLES FOR ASSEMBLY SCREWS:</t>
  </si>
  <si>
    <r>
      <t xml:space="preserve">The distance from the edge of the profile to the center of the hole for the assembly screw has to be </t>
    </r>
    <r>
      <rPr>
        <b/>
        <sz val="14"/>
        <color rgb="FFFF0000"/>
        <rFont val="Calibri"/>
        <family val="2"/>
        <charset val="204"/>
        <scheme val="minor"/>
      </rPr>
      <t xml:space="preserve">17 mm.                                                                                                               </t>
    </r>
    <r>
      <rPr>
        <sz val="14"/>
        <color theme="1"/>
        <rFont val="Calibri"/>
        <family val="2"/>
        <charset val="204"/>
        <scheme val="minor"/>
      </rPr>
      <t xml:space="preserve"> Diameters of the holes: inner hole - </t>
    </r>
    <r>
      <rPr>
        <b/>
        <sz val="14"/>
        <color rgb="FFFF0000"/>
        <rFont val="Calibri"/>
        <family val="2"/>
        <charset val="204"/>
        <scheme val="minor"/>
      </rPr>
      <t>5,5 mm</t>
    </r>
    <r>
      <rPr>
        <sz val="14"/>
        <color theme="1"/>
        <rFont val="Calibri"/>
        <family val="2"/>
        <charset val="204"/>
        <scheme val="minor"/>
      </rPr>
      <t>; outer hole -</t>
    </r>
    <r>
      <rPr>
        <sz val="14"/>
        <color rgb="FFFF0000"/>
        <rFont val="Calibri"/>
        <family val="2"/>
        <charset val="204"/>
        <scheme val="minor"/>
      </rPr>
      <t xml:space="preserve"> </t>
    </r>
    <r>
      <rPr>
        <b/>
        <sz val="14"/>
        <color rgb="FFFF0000"/>
        <rFont val="Calibri"/>
        <family val="2"/>
        <charset val="204"/>
        <scheme val="minor"/>
      </rPr>
      <t>9 mm.</t>
    </r>
  </si>
  <si>
    <t>To calculate the size and number of components, enter the data in the table:</t>
  </si>
  <si>
    <t>Number of inserts for one door:</t>
  </si>
  <si>
    <t>Panel</t>
  </si>
  <si>
    <t>Material</t>
  </si>
  <si>
    <t>Price for 1 sq. m.</t>
  </si>
  <si>
    <t>Height</t>
  </si>
  <si>
    <t>Width</t>
  </si>
  <si>
    <t>Amount</t>
  </si>
  <si>
    <t>Cost</t>
  </si>
  <si>
    <t>Insert 1 (automatically calculated)</t>
  </si>
  <si>
    <t>Insert 2</t>
  </si>
  <si>
    <t>Insert 3</t>
  </si>
  <si>
    <t>Insert 4</t>
  </si>
  <si>
    <t>Insert 5 (bottom of the door)</t>
  </si>
  <si>
    <t xml:space="preserve">Total door panels cost:   </t>
  </si>
  <si>
    <t>Stile</t>
  </si>
  <si>
    <t>Top Track</t>
  </si>
  <si>
    <t>Top Track Cover</t>
  </si>
  <si>
    <t>Top Rail</t>
  </si>
  <si>
    <t>Bottom Rail</t>
  </si>
  <si>
    <t>Accessories:</t>
  </si>
  <si>
    <t>Code</t>
  </si>
  <si>
    <t>Accessories for All Doors:</t>
  </si>
  <si>
    <t>Top Roller</t>
  </si>
  <si>
    <t>Ground Roller with Plate</t>
  </si>
  <si>
    <t>Positioners for Top Hung System</t>
  </si>
  <si>
    <t>Positioner for Folding System</t>
  </si>
  <si>
    <t>Sequential Mechanism Left</t>
  </si>
  <si>
    <t>Sequential Mechanism Right</t>
  </si>
  <si>
    <t>Soft Closer for Top Hung System</t>
  </si>
  <si>
    <t>Screw 6×30</t>
  </si>
  <si>
    <t>Top Track Suspension</t>
  </si>
  <si>
    <t>Top Track End Cover Joint</t>
  </si>
  <si>
    <t>Gasket U Shape, 8 mm</t>
  </si>
  <si>
    <t>Gasket U Shape 4 mm</t>
  </si>
  <si>
    <t>Cut-in Handle for Fusion</t>
  </si>
  <si>
    <t>Hole Cover, Self-adhesive</t>
  </si>
  <si>
    <t>Stop-plug</t>
  </si>
  <si>
    <t>Weather Strip PU</t>
  </si>
  <si>
    <t xml:space="preserve">Weather Strip </t>
  </si>
  <si>
    <t>Weather Strip Clip</t>
  </si>
  <si>
    <t>AA8888.VM320</t>
  </si>
  <si>
    <t>AA8884.VM200</t>
  </si>
  <si>
    <t>AA0104.VM200</t>
  </si>
  <si>
    <t>AA0956.VM200</t>
  </si>
  <si>
    <t>AA0040.VP000</t>
  </si>
  <si>
    <t>Sequential Synchronous Door Fixture Kit</t>
  </si>
  <si>
    <t>Sequential Synchronous Door Kit</t>
  </si>
  <si>
    <t>one door, on-wall</t>
  </si>
  <si>
    <t>two doors, on-wall</t>
  </si>
  <si>
    <t>two doors, opening(cabinet)</t>
  </si>
  <si>
    <t>two doors, opening(together with fixed partitions)</t>
  </si>
  <si>
    <t>sequential opening (overlapping the doorway, door rollback over the doorway)</t>
  </si>
  <si>
    <t>sequential opening (doors in the opening, one door is static)</t>
  </si>
  <si>
    <t>three-door, in the opening (cabinet)</t>
  </si>
  <si>
    <t>four-door in the opening (two synchro, two static)</t>
  </si>
  <si>
    <t>door height over 3200 mm is not recommended</t>
  </si>
  <si>
    <t>permissible</t>
  </si>
  <si>
    <t>left</t>
  </si>
  <si>
    <t>right</t>
  </si>
  <si>
    <t>yes</t>
  </si>
  <si>
    <t>no</t>
  </si>
  <si>
    <t>Chipboard, 10 mm</t>
  </si>
  <si>
    <t>Chipboard, 8 mm</t>
  </si>
  <si>
    <t>Glass/mirror 4 mm</t>
  </si>
  <si>
    <t>not recommended</t>
  </si>
  <si>
    <t>Weather Strip</t>
  </si>
  <si>
    <t>Incorrect insert heights</t>
  </si>
  <si>
    <t>Correct insert heights</t>
  </si>
  <si>
    <t>Indicate the height of Insert 5 (bottom of the door)</t>
  </si>
  <si>
    <t>not recommended, door width should be between 600 mm and 1200 mm</t>
  </si>
  <si>
    <t>Dividing Rail 4 in 1 System</t>
  </si>
  <si>
    <t>Product Name:</t>
  </si>
  <si>
    <t>Size</t>
  </si>
  <si>
    <t>Total Length</t>
  </si>
  <si>
    <t>Full Profiles Needed:</t>
  </si>
  <si>
    <t>Profiles for All Doors:</t>
  </si>
  <si>
    <t>cannot be installed, the door width must be at least 650 mm</t>
  </si>
  <si>
    <t>total number of doors</t>
  </si>
  <si>
    <t>fixed on the lateral surface of the profile</t>
  </si>
  <si>
    <t>for two-door wall-mounted and two-door together with Fixed Partition</t>
  </si>
  <si>
    <t>for sequential opening</t>
  </si>
  <si>
    <t>horizontal</t>
  </si>
  <si>
    <t>Entering Initial Data:</t>
  </si>
  <si>
    <r>
      <rPr>
        <b/>
        <sz val="12"/>
        <color rgb="FFFF0000"/>
        <rFont val="Calibri"/>
        <family val="2"/>
        <charset val="204"/>
        <scheme val="minor"/>
      </rPr>
      <t>One Door Leaf</t>
    </r>
    <r>
      <rPr>
        <b/>
        <sz val="12"/>
        <rFont val="Calibri"/>
        <family val="2"/>
        <charset val="204"/>
        <scheme val="minor"/>
      </rPr>
      <t xml:space="preserve"> Dimesions:</t>
    </r>
  </si>
  <si>
    <t>Calculation of dimensions, quantity and cost for  Folding Doors</t>
  </si>
  <si>
    <r>
      <t xml:space="preserve">Door </t>
    </r>
    <r>
      <rPr>
        <b/>
        <u/>
        <sz val="12"/>
        <rFont val="Calibri"/>
        <family val="2"/>
        <charset val="204"/>
        <scheme val="minor"/>
      </rPr>
      <t>Leaf</t>
    </r>
    <r>
      <rPr>
        <sz val="12"/>
        <rFont val="Calibri"/>
        <family val="2"/>
        <charset val="204"/>
        <scheme val="minor"/>
      </rPr>
      <t xml:space="preserve"> Width:</t>
    </r>
  </si>
  <si>
    <t>Door Leaf Height:</t>
  </si>
  <si>
    <t>Single Top Track</t>
  </si>
  <si>
    <t>Railing Handle</t>
  </si>
  <si>
    <t>Railing Handle Support</t>
  </si>
  <si>
    <t>Railing Handle End Covers</t>
  </si>
  <si>
    <t>Screw 6×40</t>
  </si>
  <si>
    <t>Top Folding Roller</t>
  </si>
  <si>
    <t>Top Fixed Hinge</t>
  </si>
  <si>
    <t>Bottom Hinge Right</t>
  </si>
  <si>
    <t>Bottom Hinge Left</t>
  </si>
  <si>
    <t>Center Hinge</t>
  </si>
  <si>
    <t>Positioner for Pivot System</t>
  </si>
  <si>
    <t>Door opening direction</t>
  </si>
  <si>
    <t>Railing Handle Length</t>
  </si>
  <si>
    <t>no more than two</t>
  </si>
  <si>
    <t>indicated for one door option</t>
  </si>
  <si>
    <t>permissible Handle length is from 150 mm to the height of the Stile</t>
  </si>
  <si>
    <t>with Single Top Track</t>
  </si>
  <si>
    <t>with Top Track Cover</t>
  </si>
  <si>
    <t>left side opening</t>
  </si>
  <si>
    <t>right side opening</t>
  </si>
  <si>
    <t>not recommended, width of door leaf should be between 300 mm and 600 mm</t>
  </si>
  <si>
    <t>Calculation of dimensions, quantity and cost for Pivot Doors</t>
  </si>
  <si>
    <t>Select swing mechanism</t>
  </si>
  <si>
    <t>Positioning element</t>
  </si>
  <si>
    <t>Pivot System Adjustable Plate</t>
  </si>
  <si>
    <t>End Covers Fusion</t>
  </si>
  <si>
    <t>Pivot Mechanism Set</t>
  </si>
  <si>
    <t>Magnetic Latch W/Base</t>
  </si>
  <si>
    <t>Magnetic Push Latch W/ Base</t>
  </si>
  <si>
    <t>Pivot Adjustable</t>
  </si>
  <si>
    <t>Not recommended</t>
  </si>
  <si>
    <t>Specify the height of Insert 5 (bottom of door)</t>
  </si>
  <si>
    <t>not recommended, door width should be between 200 mm and 700 mm</t>
  </si>
  <si>
    <t>Pivot Mechanism Set only for cabinets</t>
  </si>
  <si>
    <t>fixed on the lateral surface of the profile,
for Pivot Adjustable use only Weather strip/Weather Strip PU</t>
  </si>
  <si>
    <t>element that fixes the door in one position when closing</t>
  </si>
  <si>
    <t>необходима для выравниванnecessary to align the curvature of the opening, max. 20 pcs.ия кривизны проема, максимально 20 шт</t>
  </si>
  <si>
    <t>necessary to align the curvature of the opening, max. 20 pcs.</t>
  </si>
  <si>
    <t>Calculation of dimensions, quantity and cost for Fixed Partitions</t>
  </si>
  <si>
    <t>not included in the option with Top Hung System</t>
  </si>
  <si>
    <t>U Profile</t>
  </si>
  <si>
    <t>Leveler</t>
  </si>
  <si>
    <t>with U Profile and Top Track Cover</t>
  </si>
  <si>
    <t>with U Profile, without  Top Track Cover</t>
  </si>
  <si>
    <t>with U Profile, Top Track Cover and Top Hung System</t>
  </si>
  <si>
    <t>with Levelers, without U Profile</t>
  </si>
  <si>
    <t>Dividing Rail Standard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</si>
</sst>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&quot; м.&quot;"/>
    <numFmt numFmtId="171" formatCode="#,##0&quot; pcs.&quot;"/>
    <numFmt numFmtId="172" formatCode="#,##0&quot; pc.&quot;"/>
    <numFmt numFmtId="173" formatCode="#,##0&quot; mm.&quot;"/>
    <numFmt numFmtId="174" formatCode="#,##0&quot; mm&quot;"/>
    <numFmt numFmtId="175" formatCode="[$$-409]#,##0.00"/>
    <numFmt numFmtId="176" formatCode="#,##0.00&quot; pcs.&quot;"/>
    <numFmt numFmtId="177" formatCode="#,##0.00&quot;$.&quot;"/>
    <numFmt numFmtId="178" formatCode="#,##0&quot; set.&quot;"/>
    <numFmt numFmtId="179" formatCode="#,##0&quot; m.&quot;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5" fillId="0" borderId="0"/>
  </cellStyleXfs>
  <cellXfs count="453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166" fontId="13" fillId="4" borderId="1" xfId="0" applyNumberFormat="1" applyFont="1" applyFill="1" applyBorder="1" applyAlignment="1" applyProtection="1">
      <alignment horizontal="center" vertical="center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1" fillId="4" borderId="1" xfId="0" applyFont="1" applyFill="1" applyBorder="1" applyAlignment="1" applyProtection="1">
      <alignment vertical="center"/>
      <protection locked="0"/>
    </xf>
    <xf numFmtId="165" fontId="13" fillId="4" borderId="8" xfId="0" applyNumberFormat="1" applyFont="1" applyFill="1" applyBorder="1" applyAlignment="1" applyProtection="1">
      <alignment horizontal="center" vertical="center"/>
      <protection locked="0"/>
    </xf>
    <xf numFmtId="165" fontId="13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24" fillId="0" borderId="2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8" fillId="0" borderId="2" xfId="0" applyFont="1" applyFill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vertical="center"/>
    </xf>
    <xf numFmtId="0" fontId="21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horizontal="right"/>
    </xf>
    <xf numFmtId="0" fontId="21" fillId="0" borderId="13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21" fillId="0" borderId="13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3" xfId="0" applyFont="1" applyBorder="1" applyProtection="1"/>
    <xf numFmtId="0" fontId="21" fillId="0" borderId="0" xfId="0" applyFont="1" applyBorder="1" applyProtection="1"/>
    <xf numFmtId="169" fontId="14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1" fillId="0" borderId="0" xfId="0" applyFont="1" applyProtection="1"/>
    <xf numFmtId="0" fontId="21" fillId="0" borderId="14" xfId="0" applyFont="1" applyBorder="1" applyProtection="1"/>
    <xf numFmtId="0" fontId="21" fillId="0" borderId="9" xfId="0" applyFont="1" applyBorder="1" applyProtection="1"/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3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18" fillId="0" borderId="2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18" fillId="0" borderId="28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2" borderId="2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165" fontId="15" fillId="0" borderId="1" xfId="0" applyNumberFormat="1" applyFont="1" applyFill="1" applyBorder="1" applyAlignment="1" applyProtection="1">
      <alignment horizontal="center" vertical="center"/>
    </xf>
    <xf numFmtId="170" fontId="18" fillId="0" borderId="1" xfId="1" applyNumberFormat="1" applyFont="1" applyFill="1" applyBorder="1" applyAlignment="1" applyProtection="1">
      <alignment horizontal="center" vertical="center"/>
    </xf>
    <xf numFmtId="170" fontId="1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168" fontId="18" fillId="0" borderId="1" xfId="1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18" fillId="0" borderId="2" xfId="0" applyNumberFormat="1" applyFont="1" applyBorder="1" applyAlignment="1" applyProtection="1">
      <alignment vertical="center"/>
    </xf>
    <xf numFmtId="165" fontId="18" fillId="0" borderId="2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65" fontId="15" fillId="0" borderId="1" xfId="0" applyNumberFormat="1" applyFont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166" fontId="15" fillId="0" borderId="10" xfId="0" applyNumberFormat="1" applyFont="1" applyBorder="1" applyAlignment="1" applyProtection="1">
      <alignment vertical="center"/>
    </xf>
    <xf numFmtId="0" fontId="26" fillId="0" borderId="5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5" fontId="0" fillId="0" borderId="0" xfId="0" applyNumberForma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169" fontId="15" fillId="0" borderId="10" xfId="0" applyNumberFormat="1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2" xfId="6" applyFont="1" applyFill="1" applyBorder="1" applyAlignment="1" applyProtection="1">
      <alignment horizontal="center" vertical="center"/>
    </xf>
    <xf numFmtId="0" fontId="18" fillId="0" borderId="2" xfId="6" applyFont="1" applyFill="1" applyBorder="1" applyAlignment="1" applyProtection="1">
      <alignment horizontal="right" vertical="center"/>
    </xf>
    <xf numFmtId="0" fontId="15" fillId="2" borderId="1" xfId="6" applyFont="1" applyFill="1" applyBorder="1" applyAlignment="1" applyProtection="1">
      <alignment horizontal="center" vertical="center"/>
    </xf>
    <xf numFmtId="0" fontId="14" fillId="0" borderId="2" xfId="6" applyFont="1" applyBorder="1" applyAlignment="1" applyProtection="1">
      <alignment horizontal="left" vertical="center"/>
    </xf>
    <xf numFmtId="0" fontId="14" fillId="0" borderId="2" xfId="7" applyFont="1" applyBorder="1" applyAlignment="1" applyProtection="1">
      <alignment horizontal="left" vertical="center" wrapText="1"/>
    </xf>
    <xf numFmtId="0" fontId="24" fillId="0" borderId="2" xfId="6" applyFont="1" applyFill="1" applyBorder="1" applyAlignment="1" applyProtection="1">
      <alignment horizontal="left" vertical="center"/>
    </xf>
    <xf numFmtId="0" fontId="24" fillId="0" borderId="2" xfId="6" applyFont="1" applyBorder="1" applyAlignment="1" applyProtection="1">
      <alignment horizontal="left" vertical="center" wrapText="1"/>
    </xf>
    <xf numFmtId="0" fontId="14" fillId="2" borderId="2" xfId="6" applyFont="1" applyFill="1" applyBorder="1" applyAlignment="1" applyProtection="1">
      <alignment horizontal="center" vertical="center"/>
    </xf>
    <xf numFmtId="0" fontId="14" fillId="2" borderId="1" xfId="6" applyFont="1" applyFill="1" applyBorder="1" applyAlignment="1" applyProtection="1">
      <alignment horizontal="center" vertical="center"/>
    </xf>
    <xf numFmtId="0" fontId="14" fillId="2" borderId="1" xfId="6" applyFont="1" applyFill="1" applyBorder="1" applyAlignment="1" applyProtection="1">
      <alignment horizontal="center" vertical="center"/>
    </xf>
    <xf numFmtId="0" fontId="7" fillId="0" borderId="0" xfId="6" applyFont="1" applyAlignment="1" applyProtection="1">
      <alignment horizontal="left" vertical="top"/>
    </xf>
    <xf numFmtId="0" fontId="21" fillId="0" borderId="13" xfId="6" applyFont="1" applyBorder="1" applyAlignment="1" applyProtection="1">
      <alignment horizontal="right"/>
    </xf>
    <xf numFmtId="0" fontId="21" fillId="0" borderId="2" xfId="6" applyFont="1" applyBorder="1" applyAlignment="1" applyProtection="1">
      <alignment horizontal="center" vertical="center"/>
    </xf>
    <xf numFmtId="0" fontId="21" fillId="0" borderId="1" xfId="6" applyFont="1" applyBorder="1" applyAlignment="1" applyProtection="1">
      <alignment horizontal="center" vertical="center"/>
    </xf>
    <xf numFmtId="0" fontId="14" fillId="0" borderId="1" xfId="6" applyFont="1" applyBorder="1" applyAlignment="1" applyProtection="1">
      <alignment horizontal="center" vertical="center"/>
    </xf>
    <xf numFmtId="0" fontId="14" fillId="0" borderId="6" xfId="6" applyFont="1" applyBorder="1" applyAlignment="1" applyProtection="1">
      <alignment horizontal="center" vertical="center"/>
    </xf>
    <xf numFmtId="0" fontId="21" fillId="0" borderId="2" xfId="6" applyFont="1" applyBorder="1" applyAlignment="1" applyProtection="1">
      <alignment vertical="center"/>
    </xf>
    <xf numFmtId="0" fontId="7" fillId="0" borderId="7" xfId="6" applyFont="1" applyBorder="1" applyAlignment="1" applyProtection="1">
      <alignment vertical="center"/>
    </xf>
    <xf numFmtId="0" fontId="15" fillId="2" borderId="18" xfId="6" applyFont="1" applyFill="1" applyBorder="1" applyAlignment="1" applyProtection="1">
      <alignment horizontal="center" vertical="center"/>
    </xf>
    <xf numFmtId="0" fontId="15" fillId="2" borderId="41" xfId="6" applyFont="1" applyFill="1" applyBorder="1" applyAlignment="1" applyProtection="1">
      <alignment horizontal="center" vertical="center"/>
    </xf>
    <xf numFmtId="0" fontId="15" fillId="0" borderId="1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171" fontId="3" fillId="0" borderId="0" xfId="0" applyNumberFormat="1" applyFont="1" applyFill="1" applyAlignment="1" applyProtection="1">
      <alignment vertical="center"/>
    </xf>
    <xf numFmtId="171" fontId="15" fillId="0" borderId="1" xfId="0" applyNumberFormat="1" applyFont="1" applyFill="1" applyBorder="1" applyAlignment="1" applyProtection="1">
      <alignment horizontal="center" vertical="center"/>
    </xf>
    <xf numFmtId="171" fontId="18" fillId="0" borderId="1" xfId="0" applyNumberFormat="1" applyFont="1" applyFill="1" applyBorder="1" applyAlignment="1" applyProtection="1">
      <alignment horizontal="center" vertical="center"/>
    </xf>
    <xf numFmtId="171" fontId="18" fillId="0" borderId="1" xfId="1" applyNumberFormat="1" applyFont="1" applyFill="1" applyBorder="1" applyAlignment="1" applyProtection="1">
      <alignment horizontal="center" vertical="center"/>
    </xf>
    <xf numFmtId="171" fontId="15" fillId="0" borderId="1" xfId="0" applyNumberFormat="1" applyFont="1" applyBorder="1" applyAlignment="1" applyProtection="1">
      <alignment horizontal="center" vertical="center"/>
    </xf>
    <xf numFmtId="172" fontId="3" fillId="0" borderId="0" xfId="0" applyNumberFormat="1" applyFont="1" applyFill="1" applyAlignment="1" applyProtection="1">
      <alignment vertical="center"/>
    </xf>
    <xf numFmtId="0" fontId="5" fillId="0" borderId="0" xfId="7" applyAlignment="1" applyProtection="1">
      <alignment vertical="center"/>
    </xf>
    <xf numFmtId="0" fontId="0" fillId="0" borderId="0" xfId="7" applyFont="1" applyFill="1" applyAlignment="1" applyProtection="1">
      <alignment vertical="center"/>
    </xf>
    <xf numFmtId="0" fontId="17" fillId="0" borderId="0" xfId="6" applyFont="1" applyFill="1" applyBorder="1" applyAlignment="1" applyProtection="1">
      <alignment horizontal="right" vertical="center"/>
    </xf>
    <xf numFmtId="0" fontId="12" fillId="0" borderId="0" xfId="6" applyAlignment="1" applyProtection="1">
      <alignment vertical="center"/>
    </xf>
    <xf numFmtId="0" fontId="2" fillId="0" borderId="0" xfId="6" applyFont="1" applyBorder="1" applyAlignment="1" applyProtection="1">
      <alignment vertical="center"/>
    </xf>
    <xf numFmtId="0" fontId="21" fillId="0" borderId="0" xfId="7" applyFont="1" applyAlignment="1" applyProtection="1">
      <alignment vertical="center"/>
    </xf>
    <xf numFmtId="0" fontId="21" fillId="0" borderId="0" xfId="7" applyFont="1" applyProtection="1"/>
    <xf numFmtId="0" fontId="5" fillId="0" borderId="0" xfId="7" applyFill="1" applyAlignment="1" applyProtection="1">
      <alignment vertical="center"/>
    </xf>
    <xf numFmtId="0" fontId="12" fillId="0" borderId="0" xfId="6" applyFill="1" applyAlignment="1" applyProtection="1">
      <alignment vertical="center"/>
    </xf>
    <xf numFmtId="173" fontId="0" fillId="0" borderId="1" xfId="0" applyNumberForma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71" fontId="4" fillId="0" borderId="1" xfId="0" applyNumberFormat="1" applyFont="1" applyBorder="1" applyAlignment="1" applyProtection="1">
      <alignment horizontal="center" vertical="center"/>
    </xf>
    <xf numFmtId="172" fontId="0" fillId="0" borderId="6" xfId="0" applyNumberFormat="1" applyBorder="1" applyAlignment="1" applyProtection="1">
      <alignment horizontal="center" vertical="center"/>
    </xf>
    <xf numFmtId="174" fontId="21" fillId="5" borderId="1" xfId="0" applyNumberFormat="1" applyFont="1" applyFill="1" applyBorder="1" applyAlignment="1" applyProtection="1">
      <alignment horizontal="center" vertical="center"/>
    </xf>
    <xf numFmtId="174" fontId="21" fillId="0" borderId="1" xfId="0" applyNumberFormat="1" applyFont="1" applyBorder="1" applyAlignment="1" applyProtection="1">
      <alignment horizontal="center" vertical="center"/>
    </xf>
    <xf numFmtId="174" fontId="21" fillId="4" borderId="1" xfId="0" applyNumberFormat="1" applyFont="1" applyFill="1" applyBorder="1" applyAlignment="1" applyProtection="1">
      <alignment horizontal="center" vertical="center"/>
      <protection locked="0"/>
    </xf>
    <xf numFmtId="171" fontId="21" fillId="0" borderId="1" xfId="0" applyNumberFormat="1" applyFont="1" applyBorder="1" applyAlignment="1" applyProtection="1">
      <alignment horizontal="center" vertical="center"/>
    </xf>
    <xf numFmtId="175" fontId="14" fillId="4" borderId="1" xfId="0" applyNumberFormat="1" applyFont="1" applyFill="1" applyBorder="1" applyAlignment="1" applyProtection="1">
      <alignment horizontal="center" vertical="center"/>
      <protection locked="0"/>
    </xf>
    <xf numFmtId="173" fontId="9" fillId="0" borderId="1" xfId="0" applyNumberFormat="1" applyFont="1" applyBorder="1" applyAlignment="1" applyProtection="1">
      <alignment vertical="center"/>
    </xf>
    <xf numFmtId="173" fontId="3" fillId="4" borderId="1" xfId="0" applyNumberFormat="1" applyFont="1" applyFill="1" applyBorder="1" applyAlignment="1" applyProtection="1">
      <alignment horizontal="center" vertical="center"/>
      <protection locked="0"/>
    </xf>
    <xf numFmtId="171" fontId="3" fillId="4" borderId="1" xfId="0" applyNumberFormat="1" applyFont="1" applyFill="1" applyBorder="1" applyAlignment="1" applyProtection="1">
      <alignment horizontal="center" vertical="center"/>
      <protection locked="0"/>
    </xf>
    <xf numFmtId="171" fontId="13" fillId="4" borderId="1" xfId="0" applyNumberFormat="1" applyFont="1" applyFill="1" applyBorder="1" applyAlignment="1" applyProtection="1">
      <alignment horizontal="center" vertical="center"/>
      <protection locked="0"/>
    </xf>
    <xf numFmtId="171" fontId="22" fillId="0" borderId="1" xfId="0" applyNumberFormat="1" applyFont="1" applyFill="1" applyBorder="1" applyAlignment="1" applyProtection="1">
      <alignment horizontal="center" vertical="center" wrapText="1"/>
    </xf>
    <xf numFmtId="171" fontId="21" fillId="2" borderId="20" xfId="0" applyNumberFormat="1" applyFont="1" applyFill="1" applyBorder="1" applyAlignment="1" applyProtection="1">
      <alignment horizontal="center" vertical="center"/>
    </xf>
    <xf numFmtId="0" fontId="31" fillId="2" borderId="42" xfId="6" applyFont="1" applyFill="1" applyBorder="1" applyAlignment="1" applyProtection="1">
      <alignment horizontal="left" vertical="center"/>
    </xf>
    <xf numFmtId="0" fontId="24" fillId="2" borderId="16" xfId="6" applyFont="1" applyFill="1" applyBorder="1" applyAlignment="1" applyProtection="1">
      <alignment horizontal="center" vertical="center"/>
    </xf>
    <xf numFmtId="0" fontId="21" fillId="2" borderId="16" xfId="6" applyFont="1" applyFill="1" applyBorder="1" applyAlignment="1" applyProtection="1">
      <alignment horizontal="center" vertical="center"/>
    </xf>
    <xf numFmtId="0" fontId="15" fillId="2" borderId="16" xfId="6" applyFont="1" applyFill="1" applyBorder="1" applyAlignment="1" applyProtection="1">
      <alignment horizontal="center" vertical="center" wrapText="1"/>
    </xf>
    <xf numFmtId="0" fontId="15" fillId="2" borderId="38" xfId="6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left" vertical="center"/>
    </xf>
    <xf numFmtId="0" fontId="31" fillId="2" borderId="2" xfId="6" applyFont="1" applyFill="1" applyBorder="1" applyAlignment="1" applyProtection="1">
      <alignment horizontal="left" vertical="center"/>
    </xf>
    <xf numFmtId="0" fontId="24" fillId="2" borderId="1" xfId="6" applyFont="1" applyFill="1" applyBorder="1" applyAlignment="1" applyProtection="1">
      <alignment horizontal="center" vertical="center"/>
    </xf>
    <xf numFmtId="0" fontId="21" fillId="2" borderId="1" xfId="6" applyFont="1" applyFill="1" applyBorder="1" applyAlignment="1" applyProtection="1">
      <alignment horizontal="center" vertical="center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6" xfId="6" applyFont="1" applyFill="1" applyBorder="1" applyAlignment="1" applyProtection="1">
      <alignment horizontal="center" vertical="center" wrapText="1"/>
    </xf>
    <xf numFmtId="173" fontId="18" fillId="0" borderId="1" xfId="0" applyNumberFormat="1" applyFont="1" applyBorder="1" applyAlignment="1" applyProtection="1">
      <alignment horizontal="center" vertical="center"/>
    </xf>
    <xf numFmtId="173" fontId="15" fillId="0" borderId="1" xfId="0" applyNumberFormat="1" applyFont="1" applyBorder="1" applyAlignment="1" applyProtection="1">
      <alignment horizontal="center" vertical="center"/>
    </xf>
    <xf numFmtId="171" fontId="18" fillId="0" borderId="1" xfId="0" applyNumberFormat="1" applyFont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</xf>
    <xf numFmtId="176" fontId="15" fillId="0" borderId="6" xfId="0" applyNumberFormat="1" applyFont="1" applyFill="1" applyBorder="1" applyAlignment="1" applyProtection="1">
      <alignment horizontal="center" vertical="center"/>
    </xf>
    <xf numFmtId="177" fontId="14" fillId="4" borderId="1" xfId="0" applyNumberFormat="1" applyFont="1" applyFill="1" applyBorder="1" applyAlignment="1" applyProtection="1">
      <alignment horizontal="center" vertical="center"/>
      <protection locked="0"/>
    </xf>
    <xf numFmtId="171" fontId="15" fillId="0" borderId="8" xfId="0" applyNumberFormat="1" applyFont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/>
    </xf>
    <xf numFmtId="179" fontId="18" fillId="0" borderId="1" xfId="1" applyNumberFormat="1" applyFont="1" applyFill="1" applyBorder="1" applyAlignment="1" applyProtection="1">
      <alignment horizontal="center" vertical="center"/>
    </xf>
    <xf numFmtId="0" fontId="21" fillId="0" borderId="2" xfId="7" applyFont="1" applyBorder="1" applyAlignment="1" applyProtection="1">
      <alignment horizontal="center" vertical="center"/>
    </xf>
    <xf numFmtId="0" fontId="14" fillId="0" borderId="1" xfId="7" applyFont="1" applyBorder="1" applyAlignment="1" applyProtection="1">
      <alignment horizontal="center" vertical="center"/>
    </xf>
    <xf numFmtId="0" fontId="21" fillId="0" borderId="1" xfId="7" applyFont="1" applyBorder="1" applyAlignment="1" applyProtection="1">
      <alignment horizontal="center" vertical="center"/>
    </xf>
    <xf numFmtId="0" fontId="14" fillId="0" borderId="6" xfId="7" applyFont="1" applyBorder="1" applyAlignment="1" applyProtection="1">
      <alignment horizontal="center" vertical="center"/>
    </xf>
    <xf numFmtId="173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7" applyFont="1" applyBorder="1" applyAlignment="1" applyProtection="1">
      <alignment horizontal="left" vertical="center" wrapText="1"/>
    </xf>
    <xf numFmtId="0" fontId="18" fillId="0" borderId="7" xfId="6" applyFont="1" applyBorder="1" applyAlignment="1" applyProtection="1">
      <alignment horizontal="left" vertical="center" wrapText="1"/>
    </xf>
    <xf numFmtId="172" fontId="3" fillId="0" borderId="0" xfId="7" applyNumberFormat="1" applyFont="1" applyFill="1" applyAlignment="1" applyProtection="1">
      <alignment vertical="center"/>
    </xf>
    <xf numFmtId="171" fontId="3" fillId="0" borderId="0" xfId="7" applyNumberFormat="1" applyFont="1" applyFill="1" applyAlignment="1" applyProtection="1">
      <alignment vertical="center"/>
    </xf>
    <xf numFmtId="0" fontId="17" fillId="0" borderId="0" xfId="7" applyFont="1" applyFill="1" applyBorder="1" applyAlignment="1" applyProtection="1">
      <alignment horizontal="right" vertical="center"/>
    </xf>
    <xf numFmtId="0" fontId="2" fillId="0" borderId="0" xfId="7" applyFont="1" applyBorder="1" applyAlignment="1" applyProtection="1">
      <alignment vertical="center"/>
    </xf>
    <xf numFmtId="0" fontId="14" fillId="2" borderId="2" xfId="7" applyFont="1" applyFill="1" applyBorder="1" applyAlignment="1" applyProtection="1">
      <alignment horizontal="center" vertical="center"/>
    </xf>
    <xf numFmtId="0" fontId="14" fillId="2" borderId="1" xfId="7" applyFont="1" applyFill="1" applyBorder="1" applyAlignment="1" applyProtection="1">
      <alignment horizontal="center" vertical="center"/>
    </xf>
    <xf numFmtId="173" fontId="1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7" applyFont="1" applyBorder="1" applyAlignment="1" applyProtection="1">
      <alignment horizontal="left" vertical="center"/>
    </xf>
    <xf numFmtId="0" fontId="24" fillId="0" borderId="2" xfId="7" applyFont="1" applyFill="1" applyBorder="1" applyAlignment="1" applyProtection="1">
      <alignment horizontal="left" vertical="center"/>
    </xf>
    <xf numFmtId="0" fontId="24" fillId="0" borderId="7" xfId="7" applyFont="1" applyBorder="1" applyAlignment="1" applyProtection="1">
      <alignment horizontal="left" vertical="center" wrapText="1"/>
    </xf>
    <xf numFmtId="0" fontId="15" fillId="2" borderId="2" xfId="7" applyFont="1" applyFill="1" applyBorder="1" applyAlignment="1" applyProtection="1">
      <alignment horizontal="center" vertical="center"/>
    </xf>
    <xf numFmtId="0" fontId="18" fillId="0" borderId="2" xfId="7" applyFont="1" applyFill="1" applyBorder="1" applyAlignment="1" applyProtection="1">
      <alignment horizontal="right" vertical="center"/>
    </xf>
    <xf numFmtId="0" fontId="15" fillId="2" borderId="1" xfId="7" applyFont="1" applyFill="1" applyBorder="1" applyAlignment="1" applyProtection="1">
      <alignment horizontal="center" vertical="center"/>
    </xf>
    <xf numFmtId="0" fontId="31" fillId="2" borderId="2" xfId="7" applyFont="1" applyFill="1" applyBorder="1" applyAlignment="1" applyProtection="1">
      <alignment horizontal="left" vertical="center"/>
    </xf>
    <xf numFmtId="0" fontId="24" fillId="2" borderId="1" xfId="7" applyFont="1" applyFill="1" applyBorder="1" applyAlignment="1" applyProtection="1">
      <alignment horizontal="center" vertical="center"/>
    </xf>
    <xf numFmtId="0" fontId="21" fillId="2" borderId="1" xfId="7" applyFont="1" applyFill="1" applyBorder="1" applyAlignment="1" applyProtection="1">
      <alignment horizontal="center" vertical="center"/>
    </xf>
    <xf numFmtId="0" fontId="15" fillId="2" borderId="1" xfId="7" applyFont="1" applyFill="1" applyBorder="1" applyAlignment="1" applyProtection="1">
      <alignment horizontal="center" vertical="center" wrapText="1"/>
    </xf>
    <xf numFmtId="0" fontId="15" fillId="2" borderId="6" xfId="7" applyFont="1" applyFill="1" applyBorder="1" applyAlignment="1" applyProtection="1">
      <alignment horizontal="center" vertical="center" wrapText="1"/>
    </xf>
    <xf numFmtId="173" fontId="15" fillId="0" borderId="1" xfId="0" applyNumberFormat="1" applyFont="1" applyFill="1" applyBorder="1" applyAlignment="1" applyProtection="1">
      <alignment horizontal="center" vertical="center"/>
    </xf>
    <xf numFmtId="0" fontId="15" fillId="2" borderId="18" xfId="7" applyFont="1" applyFill="1" applyBorder="1" applyAlignment="1" applyProtection="1">
      <alignment horizontal="center" vertical="center"/>
    </xf>
    <xf numFmtId="0" fontId="15" fillId="2" borderId="41" xfId="7" applyFont="1" applyFill="1" applyBorder="1" applyAlignment="1" applyProtection="1">
      <alignment horizontal="center" vertical="center"/>
    </xf>
    <xf numFmtId="171" fontId="18" fillId="0" borderId="22" xfId="1" applyNumberFormat="1" applyFont="1" applyFill="1" applyBorder="1" applyAlignment="1" applyProtection="1">
      <alignment horizontal="center" vertical="center"/>
    </xf>
    <xf numFmtId="173" fontId="18" fillId="0" borderId="1" xfId="0" applyNumberFormat="1" applyFont="1" applyFill="1" applyBorder="1" applyAlignment="1" applyProtection="1">
      <alignment horizontal="center" vertical="center"/>
    </xf>
    <xf numFmtId="173" fontId="9" fillId="0" borderId="1" xfId="0" applyNumberFormat="1" applyFont="1" applyFill="1" applyBorder="1" applyAlignment="1" applyProtection="1">
      <alignment vertical="center"/>
    </xf>
    <xf numFmtId="0" fontId="21" fillId="0" borderId="2" xfId="7" applyFont="1" applyBorder="1" applyAlignment="1" applyProtection="1">
      <alignment vertical="center"/>
    </xf>
    <xf numFmtId="0" fontId="7" fillId="0" borderId="7" xfId="7" applyFont="1" applyBorder="1" applyAlignment="1" applyProtection="1">
      <alignment vertical="center"/>
    </xf>
    <xf numFmtId="0" fontId="7" fillId="0" borderId="0" xfId="7" applyFont="1" applyAlignment="1" applyProtection="1">
      <alignment horizontal="left" vertical="top"/>
    </xf>
    <xf numFmtId="0" fontId="21" fillId="0" borderId="13" xfId="7" applyFont="1" applyBorder="1" applyAlignment="1" applyProtection="1">
      <alignment horizontal="right"/>
    </xf>
    <xf numFmtId="171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73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</xf>
    <xf numFmtId="166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left" vertical="center"/>
    </xf>
    <xf numFmtId="0" fontId="24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/>
    </xf>
    <xf numFmtId="171" fontId="18" fillId="0" borderId="8" xfId="1" applyNumberFormat="1" applyFont="1" applyFill="1" applyBorder="1" applyAlignment="1" applyProtection="1">
      <alignment horizontal="center" vertical="center"/>
    </xf>
    <xf numFmtId="171" fontId="7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175" fontId="14" fillId="0" borderId="6" xfId="0" applyNumberFormat="1" applyFont="1" applyBorder="1" applyAlignment="1" applyProtection="1">
      <alignment horizontal="center" vertical="center"/>
    </xf>
    <xf numFmtId="175" fontId="14" fillId="0" borderId="20" xfId="0" applyNumberFormat="1" applyFont="1" applyBorder="1" applyAlignment="1" applyProtection="1">
      <alignment horizontal="center" vertical="center"/>
    </xf>
    <xf numFmtId="175" fontId="14" fillId="0" borderId="35" xfId="0" applyNumberFormat="1" applyFont="1" applyBorder="1" applyAlignment="1" applyProtection="1">
      <alignment horizontal="center" vertical="center"/>
    </xf>
    <xf numFmtId="172" fontId="0" fillId="0" borderId="35" xfId="0" applyNumberFormat="1" applyBorder="1" applyAlignment="1" applyProtection="1">
      <alignment horizontal="center" vertical="center"/>
    </xf>
    <xf numFmtId="172" fontId="0" fillId="0" borderId="38" xfId="0" applyNumberForma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left" vertical="center"/>
    </xf>
    <xf numFmtId="0" fontId="15" fillId="0" borderId="29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vertical="center"/>
    </xf>
    <xf numFmtId="0" fontId="15" fillId="0" borderId="29" xfId="0" applyFont="1" applyBorder="1" applyAlignment="1" applyProtection="1">
      <alignment vertical="center"/>
    </xf>
    <xf numFmtId="0" fontId="15" fillId="0" borderId="34" xfId="0" applyFont="1" applyBorder="1" applyAlignment="1" applyProtection="1">
      <alignment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right" vertical="center"/>
    </xf>
    <xf numFmtId="0" fontId="18" fillId="0" borderId="26" xfId="0" applyFont="1" applyBorder="1" applyAlignment="1" applyProtection="1">
      <alignment horizontal="right" vertical="center"/>
    </xf>
    <xf numFmtId="0" fontId="18" fillId="0" borderId="25" xfId="0" applyFon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69" fontId="14" fillId="0" borderId="9" xfId="0" applyNumberFormat="1" applyFont="1" applyBorder="1" applyAlignment="1" applyProtection="1">
      <alignment horizontal="right" vertical="center"/>
    </xf>
    <xf numFmtId="173" fontId="0" fillId="0" borderId="15" xfId="0" applyNumberFormat="1" applyBorder="1" applyAlignment="1" applyProtection="1">
      <alignment horizontal="center" vertical="center"/>
    </xf>
    <xf numFmtId="173" fontId="0" fillId="0" borderId="16" xfId="0" applyNumberForma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166" fontId="15" fillId="0" borderId="36" xfId="0" applyNumberFormat="1" applyFont="1" applyBorder="1" applyAlignment="1" applyProtection="1">
      <alignment horizontal="left" vertical="center"/>
    </xf>
    <xf numFmtId="166" fontId="15" fillId="0" borderId="29" xfId="0" applyNumberFormat="1" applyFont="1" applyBorder="1" applyAlignment="1" applyProtection="1">
      <alignment horizontal="left" vertical="center"/>
    </xf>
    <xf numFmtId="166" fontId="15" fillId="0" borderId="34" xfId="0" applyNumberFormat="1" applyFont="1" applyBorder="1" applyAlignment="1" applyProtection="1">
      <alignment horizontal="left" vertical="center"/>
    </xf>
    <xf numFmtId="0" fontId="31" fillId="2" borderId="17" xfId="6" applyFont="1" applyFill="1" applyBorder="1" applyAlignment="1" applyProtection="1">
      <alignment horizontal="left" vertical="center"/>
    </xf>
    <xf numFmtId="0" fontId="31" fillId="2" borderId="18" xfId="6" applyFont="1" applyFill="1" applyBorder="1" applyAlignment="1" applyProtection="1">
      <alignment horizontal="left" vertical="center"/>
    </xf>
    <xf numFmtId="166" fontId="15" fillId="0" borderId="2" xfId="6" applyNumberFormat="1" applyFont="1" applyBorder="1" applyAlignment="1" applyProtection="1">
      <alignment horizontal="left" vertical="center"/>
    </xf>
    <xf numFmtId="166" fontId="15" fillId="0" borderId="1" xfId="6" applyNumberFormat="1" applyFont="1" applyBorder="1" applyAlignment="1" applyProtection="1">
      <alignment horizontal="left" vertical="center"/>
    </xf>
    <xf numFmtId="0" fontId="25" fillId="0" borderId="19" xfId="0" applyFont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horizontal="left" vertical="center"/>
    </xf>
    <xf numFmtId="0" fontId="9" fillId="0" borderId="13" xfId="6" applyFont="1" applyFill="1" applyBorder="1" applyAlignment="1" applyProtection="1">
      <alignment horizontal="left" vertical="center"/>
    </xf>
    <xf numFmtId="0" fontId="9" fillId="0" borderId="32" xfId="6" applyFont="1" applyFill="1" applyBorder="1" applyAlignment="1" applyProtection="1">
      <alignment horizontal="left" vertical="center"/>
    </xf>
    <xf numFmtId="0" fontId="9" fillId="0" borderId="33" xfId="6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4" fillId="2" borderId="1" xfId="6" applyFont="1" applyFill="1" applyBorder="1" applyAlignment="1" applyProtection="1">
      <alignment horizontal="center" vertical="center"/>
    </xf>
    <xf numFmtId="0" fontId="14" fillId="2" borderId="19" xfId="6" applyFont="1" applyFill="1" applyBorder="1" applyAlignment="1" applyProtection="1">
      <alignment horizontal="center" vertical="center"/>
    </xf>
    <xf numFmtId="0" fontId="14" fillId="2" borderId="6" xfId="6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4" fillId="0" borderId="0" xfId="6" applyFont="1" applyAlignment="1" applyProtection="1">
      <alignment vertical="center" wrapText="1"/>
    </xf>
    <xf numFmtId="0" fontId="21" fillId="0" borderId="30" xfId="6" applyFont="1" applyBorder="1" applyAlignment="1" applyProtection="1">
      <alignment horizontal="right" vertical="center"/>
    </xf>
    <xf numFmtId="0" fontId="21" fillId="0" borderId="31" xfId="6" applyFont="1" applyBorder="1" applyAlignment="1" applyProtection="1">
      <alignment horizontal="right" vertical="center"/>
    </xf>
    <xf numFmtId="0" fontId="18" fillId="0" borderId="2" xfId="6" applyFont="1" applyFill="1" applyBorder="1" applyAlignment="1" applyProtection="1">
      <alignment vertical="center"/>
    </xf>
    <xf numFmtId="0" fontId="18" fillId="0" borderId="1" xfId="6" applyFont="1" applyFill="1" applyBorder="1" applyAlignment="1" applyProtection="1">
      <alignment vertical="center"/>
    </xf>
    <xf numFmtId="0" fontId="15" fillId="0" borderId="2" xfId="6" applyFont="1" applyFill="1" applyBorder="1" applyAlignment="1" applyProtection="1">
      <alignment vertical="center"/>
    </xf>
    <xf numFmtId="0" fontId="15" fillId="0" borderId="1" xfId="6" applyFont="1" applyFill="1" applyBorder="1" applyAlignment="1" applyProtection="1">
      <alignment vertical="center"/>
    </xf>
    <xf numFmtId="0" fontId="18" fillId="0" borderId="13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32" fillId="0" borderId="11" xfId="6" applyFont="1" applyFill="1" applyBorder="1" applyAlignment="1" applyProtection="1">
      <alignment horizontal="center" vertical="center"/>
    </xf>
    <xf numFmtId="0" fontId="32" fillId="0" borderId="3" xfId="6" applyFont="1" applyFill="1" applyBorder="1" applyAlignment="1" applyProtection="1">
      <alignment horizontal="center" vertical="center"/>
    </xf>
    <xf numFmtId="0" fontId="32" fillId="0" borderId="4" xfId="6" applyFont="1" applyFill="1" applyBorder="1" applyAlignment="1" applyProtection="1">
      <alignment horizontal="center" vertical="center"/>
    </xf>
    <xf numFmtId="0" fontId="7" fillId="0" borderId="32" xfId="6" applyFont="1" applyFill="1" applyBorder="1" applyAlignment="1" applyProtection="1">
      <alignment horizontal="center" vertical="center"/>
    </xf>
    <xf numFmtId="0" fontId="7" fillId="0" borderId="33" xfId="6" applyFont="1" applyFill="1" applyBorder="1" applyAlignment="1" applyProtection="1">
      <alignment horizontal="center" vertical="center"/>
    </xf>
    <xf numFmtId="0" fontId="7" fillId="0" borderId="21" xfId="6" applyFont="1" applyFill="1" applyBorder="1" applyAlignment="1" applyProtection="1">
      <alignment horizontal="center" vertical="center"/>
    </xf>
    <xf numFmtId="0" fontId="9" fillId="0" borderId="43" xfId="6" applyFont="1" applyFill="1" applyBorder="1" applyAlignment="1" applyProtection="1">
      <alignment horizontal="left" vertical="center"/>
    </xf>
    <xf numFmtId="0" fontId="9" fillId="0" borderId="44" xfId="6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9" fillId="0" borderId="14" xfId="6" applyFont="1" applyFill="1" applyBorder="1" applyAlignment="1" applyProtection="1">
      <alignment horizontal="left" vertical="center"/>
    </xf>
    <xf numFmtId="0" fontId="9" fillId="0" borderId="9" xfId="6" applyFont="1" applyFill="1" applyBorder="1" applyAlignment="1" applyProtection="1">
      <alignment horizontal="left" vertical="center"/>
    </xf>
    <xf numFmtId="0" fontId="15" fillId="0" borderId="14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0" fontId="15" fillId="0" borderId="37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31" fillId="2" borderId="45" xfId="6" applyFont="1" applyFill="1" applyBorder="1" applyAlignment="1" applyProtection="1">
      <alignment horizontal="left" vertical="center"/>
    </xf>
    <xf numFmtId="0" fontId="31" fillId="2" borderId="46" xfId="6" applyFont="1" applyFill="1" applyBorder="1" applyAlignment="1" applyProtection="1">
      <alignment horizontal="left" vertical="center"/>
    </xf>
    <xf numFmtId="0" fontId="31" fillId="2" borderId="47" xfId="6" applyFont="1" applyFill="1" applyBorder="1" applyAlignment="1" applyProtection="1">
      <alignment horizontal="left" vertical="center"/>
    </xf>
    <xf numFmtId="0" fontId="15" fillId="0" borderId="36" xfId="6" applyFont="1" applyBorder="1" applyAlignment="1" applyProtection="1">
      <alignment vertical="center"/>
    </xf>
    <xf numFmtId="0" fontId="15" fillId="0" borderId="29" xfId="6" applyFont="1" applyBorder="1" applyAlignment="1" applyProtection="1">
      <alignment vertical="center"/>
    </xf>
    <xf numFmtId="0" fontId="15" fillId="0" borderId="34" xfId="6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166" fontId="15" fillId="0" borderId="2" xfId="7" applyNumberFormat="1" applyFont="1" applyBorder="1" applyAlignment="1" applyProtection="1">
      <alignment horizontal="left" vertical="center"/>
    </xf>
    <xf numFmtId="166" fontId="15" fillId="0" borderId="1" xfId="7" applyNumberFormat="1" applyFont="1" applyBorder="1" applyAlignment="1" applyProtection="1">
      <alignment horizontal="left" vertical="center"/>
    </xf>
    <xf numFmtId="0" fontId="21" fillId="0" borderId="30" xfId="7" applyFont="1" applyBorder="1" applyAlignment="1" applyProtection="1">
      <alignment horizontal="right" vertical="center"/>
    </xf>
    <xf numFmtId="0" fontId="21" fillId="0" borderId="31" xfId="7" applyFont="1" applyBorder="1" applyAlignment="1" applyProtection="1">
      <alignment horizontal="right" vertical="center"/>
    </xf>
    <xf numFmtId="0" fontId="14" fillId="0" borderId="0" xfId="6" applyFont="1" applyBorder="1" applyAlignment="1" applyProtection="1">
      <alignment vertical="center" wrapText="1"/>
    </xf>
    <xf numFmtId="0" fontId="31" fillId="2" borderId="17" xfId="7" applyFont="1" applyFill="1" applyBorder="1" applyAlignment="1" applyProtection="1">
      <alignment horizontal="left" vertical="center"/>
    </xf>
    <xf numFmtId="0" fontId="31" fillId="2" borderId="18" xfId="7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166" fontId="15" fillId="0" borderId="14" xfId="0" applyNumberFormat="1" applyFont="1" applyBorder="1" applyAlignment="1" applyProtection="1">
      <alignment horizontal="left" vertical="center"/>
    </xf>
    <xf numFmtId="166" fontId="15" fillId="0" borderId="9" xfId="0" applyNumberFormat="1" applyFont="1" applyBorder="1" applyAlignment="1" applyProtection="1">
      <alignment horizontal="left" vertical="center"/>
    </xf>
    <xf numFmtId="166" fontId="15" fillId="0" borderId="37" xfId="0" applyNumberFormat="1" applyFont="1" applyBorder="1" applyAlignment="1" applyProtection="1">
      <alignment horizontal="left" vertical="center"/>
    </xf>
    <xf numFmtId="0" fontId="18" fillId="0" borderId="2" xfId="7" applyFont="1" applyFill="1" applyBorder="1" applyAlignment="1" applyProtection="1">
      <alignment vertical="center"/>
    </xf>
    <xf numFmtId="0" fontId="18" fillId="0" borderId="1" xfId="7" applyFont="1" applyFill="1" applyBorder="1" applyAlignment="1" applyProtection="1">
      <alignment vertical="center"/>
    </xf>
    <xf numFmtId="0" fontId="15" fillId="0" borderId="2" xfId="7" applyFont="1" applyFill="1" applyBorder="1" applyAlignment="1" applyProtection="1">
      <alignment vertical="center"/>
    </xf>
    <xf numFmtId="0" fontId="15" fillId="0" borderId="1" xfId="7" applyFont="1" applyFill="1" applyBorder="1" applyAlignment="1" applyProtection="1">
      <alignment vertical="center"/>
    </xf>
    <xf numFmtId="166" fontId="15" fillId="0" borderId="42" xfId="0" applyNumberFormat="1" applyFont="1" applyBorder="1" applyAlignment="1" applyProtection="1">
      <alignment horizontal="left" vertical="center"/>
    </xf>
    <xf numFmtId="166" fontId="15" fillId="0" borderId="16" xfId="0" applyNumberFormat="1" applyFont="1" applyBorder="1" applyAlignment="1" applyProtection="1">
      <alignment horizontal="left" vertical="center"/>
    </xf>
    <xf numFmtId="166" fontId="15" fillId="0" borderId="2" xfId="0" applyNumberFormat="1" applyFont="1" applyBorder="1" applyAlignment="1" applyProtection="1">
      <alignment horizontal="left" vertical="center"/>
    </xf>
    <xf numFmtId="166" fontId="15" fillId="0" borderId="1" xfId="0" applyNumberFormat="1" applyFont="1" applyBorder="1" applyAlignment="1" applyProtection="1">
      <alignment horizontal="left" vertical="center"/>
    </xf>
    <xf numFmtId="0" fontId="9" fillId="0" borderId="13" xfId="7" applyFont="1" applyFill="1" applyBorder="1" applyAlignment="1" applyProtection="1">
      <alignment horizontal="left" vertical="center"/>
    </xf>
    <xf numFmtId="0" fontId="9" fillId="0" borderId="0" xfId="7" applyFont="1" applyFill="1" applyBorder="1" applyAlignment="1" applyProtection="1">
      <alignment horizontal="left" vertical="center"/>
    </xf>
    <xf numFmtId="0" fontId="14" fillId="2" borderId="1" xfId="7" applyFont="1" applyFill="1" applyBorder="1" applyAlignment="1" applyProtection="1">
      <alignment horizontal="center" vertical="center"/>
    </xf>
    <xf numFmtId="0" fontId="14" fillId="2" borderId="19" xfId="7" applyFont="1" applyFill="1" applyBorder="1" applyAlignment="1" applyProtection="1">
      <alignment horizontal="center" vertical="center"/>
    </xf>
    <xf numFmtId="0" fontId="14" fillId="2" borderId="6" xfId="7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7" fillId="0" borderId="32" xfId="7" applyFont="1" applyFill="1" applyBorder="1" applyAlignment="1" applyProtection="1">
      <alignment horizontal="center" vertical="center"/>
    </xf>
    <xf numFmtId="0" fontId="7" fillId="0" borderId="33" xfId="7" applyFont="1" applyFill="1" applyBorder="1" applyAlignment="1" applyProtection="1">
      <alignment horizontal="center" vertical="center"/>
    </xf>
    <xf numFmtId="0" fontId="7" fillId="0" borderId="21" xfId="7" applyFont="1" applyFill="1" applyBorder="1" applyAlignment="1" applyProtection="1">
      <alignment horizontal="center" vertical="center"/>
    </xf>
    <xf numFmtId="0" fontId="32" fillId="0" borderId="13" xfId="7" applyFont="1" applyFill="1" applyBorder="1" applyAlignment="1" applyProtection="1">
      <alignment horizontal="center" vertical="center"/>
    </xf>
    <xf numFmtId="0" fontId="33" fillId="0" borderId="0" xfId="7" applyFont="1" applyFill="1" applyBorder="1" applyAlignment="1" applyProtection="1">
      <alignment horizontal="center" vertical="center"/>
    </xf>
    <xf numFmtId="0" fontId="33" fillId="0" borderId="5" xfId="7" applyFont="1" applyFill="1" applyBorder="1" applyAlignment="1" applyProtection="1">
      <alignment horizontal="center" vertical="center"/>
    </xf>
    <xf numFmtId="0" fontId="32" fillId="0" borderId="11" xfId="7" applyFont="1" applyFill="1" applyBorder="1" applyAlignment="1" applyProtection="1">
      <alignment horizontal="center" vertical="center"/>
    </xf>
    <xf numFmtId="0" fontId="32" fillId="0" borderId="3" xfId="7" applyFont="1" applyFill="1" applyBorder="1" applyAlignment="1" applyProtection="1">
      <alignment horizontal="center" vertical="center"/>
    </xf>
    <xf numFmtId="0" fontId="32" fillId="0" borderId="4" xfId="7" applyFont="1" applyFill="1" applyBorder="1" applyAlignment="1" applyProtection="1">
      <alignment horizontal="center" vertical="center"/>
    </xf>
    <xf numFmtId="0" fontId="32" fillId="0" borderId="11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left" vertical="center"/>
    </xf>
    <xf numFmtId="0" fontId="9" fillId="0" borderId="44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31" fillId="2" borderId="17" xfId="0" applyFont="1" applyFill="1" applyBorder="1" applyAlignment="1" applyProtection="1">
      <alignment horizontal="left" vertical="center"/>
    </xf>
    <xf numFmtId="0" fontId="31" fillId="2" borderId="18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right" vertical="center"/>
    </xf>
    <xf numFmtId="0" fontId="21" fillId="0" borderId="31" xfId="0" applyFont="1" applyBorder="1" applyAlignment="1" applyProtection="1">
      <alignment horizontal="right" vertical="center"/>
    </xf>
    <xf numFmtId="176" fontId="15" fillId="0" borderId="35" xfId="0" applyNumberFormat="1" applyFont="1" applyBorder="1" applyAlignment="1" applyProtection="1">
      <alignment horizontal="center" vertical="center"/>
    </xf>
    <xf numFmtId="176" fontId="15" fillId="0" borderId="38" xfId="0" applyNumberFormat="1" applyFont="1" applyBorder="1" applyAlignment="1" applyProtection="1">
      <alignment horizontal="center" vertical="center"/>
    </xf>
    <xf numFmtId="173" fontId="15" fillId="0" borderId="15" xfId="0" applyNumberFormat="1" applyFont="1" applyFill="1" applyBorder="1" applyAlignment="1" applyProtection="1">
      <alignment horizontal="center" vertical="center"/>
    </xf>
    <xf numFmtId="173" fontId="15" fillId="0" borderId="16" xfId="0" applyNumberFormat="1" applyFont="1" applyFill="1" applyBorder="1" applyAlignment="1" applyProtection="1">
      <alignment horizontal="center" vertical="center"/>
    </xf>
    <xf numFmtId="166" fontId="15" fillId="0" borderId="7" xfId="0" applyNumberFormat="1" applyFont="1" applyBorder="1" applyAlignment="1" applyProtection="1">
      <alignment horizontal="left" vertical="center"/>
    </xf>
    <xf numFmtId="166" fontId="15" fillId="0" borderId="8" xfId="0" applyNumberFormat="1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171" fontId="9" fillId="4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Гиперссылка" xfId="2" builtinId="8"/>
    <cellStyle name="Обычный" xfId="0" builtinId="0"/>
    <cellStyle name="Обычный 2" xfId="7" xr:uid="{00000000-0005-0000-0000-000002000000}"/>
    <cellStyle name="Обычный 2 2" xfId="6" xr:uid="{00000000-0005-0000-0000-000003000000}"/>
    <cellStyle name="Обычный 4" xfId="4" xr:uid="{00000000-0005-0000-0000-000004000000}"/>
    <cellStyle name="Обычный 4 2" xfId="5" xr:uid="{00000000-0005-0000-0000-000005000000}"/>
    <cellStyle name="Обычный 7" xfId="1" xr:uid="{00000000-0005-0000-0000-000006000000}"/>
    <cellStyle name="Процентный 2" xfId="3" xr:uid="{00000000-0005-0000-0000-000007000000}"/>
  </cellStyles>
  <dxfs count="130">
    <dxf>
      <font>
        <color rgb="FFFFFF00"/>
      </font>
    </dxf>
    <dxf>
      <font>
        <color rgb="FFFFFFFF"/>
      </font>
    </dxf>
    <dxf>
      <font>
        <color rgb="FFFFFFFF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rgb="FFFFFFFF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op Hung'!R1C1"/><Relationship Id="rId2" Type="http://schemas.openxmlformats.org/officeDocument/2006/relationships/hyperlink" Target="#Pivot!R1C1"/><Relationship Id="rId1" Type="http://schemas.openxmlformats.org/officeDocument/2006/relationships/hyperlink" Target="#&#1057;&#1090;&#1072;&#1094;&#1080;&#1086;&#1085;&#1072;&#1088;&#1085;&#1072;&#1103;!C6"/><Relationship Id="rId6" Type="http://schemas.openxmlformats.org/officeDocument/2006/relationships/hyperlink" Target="#Fixed!R1C1"/><Relationship Id="rId5" Type="http://schemas.openxmlformats.org/officeDocument/2006/relationships/hyperlink" Target="#Folding!R1C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4253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Pivot Door (</a:t>
          </a:r>
          <a:r>
            <a:rPr lang="en-US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 4 in 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4190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Top Hung Door ( 4 in</a:t>
          </a:r>
          <a:r>
            <a:rPr lang="en-US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 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3880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Folding Door ( 4 in 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961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Fixed</a:t>
          </a:r>
          <a:r>
            <a:rPr lang="en-US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 Partition ( 4 in 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604508</xdr:colOff>
      <xdr:row>38</xdr:row>
      <xdr:rowOff>187851</xdr:rowOff>
    </xdr:from>
    <xdr:to>
      <xdr:col>1</xdr:col>
      <xdr:colOff>2111191</xdr:colOff>
      <xdr:row>50</xdr:row>
      <xdr:rowOff>223670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4E061E7-91B7-46B8-9CD7-6449171F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44" y="11714833"/>
          <a:ext cx="1506683" cy="2862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554182</xdr:colOff>
      <xdr:row>32</xdr:row>
      <xdr:rowOff>207818</xdr:rowOff>
    </xdr:from>
    <xdr:to>
      <xdr:col>1</xdr:col>
      <xdr:colOff>2119003</xdr:colOff>
      <xdr:row>45</xdr:row>
      <xdr:rowOff>73297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DB0321-DAE5-4A75-A315-0FE36FBAA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55" y="7758545"/>
          <a:ext cx="1564821" cy="3017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33</xdr:row>
      <xdr:rowOff>103909</xdr:rowOff>
    </xdr:from>
    <xdr:to>
      <xdr:col>1</xdr:col>
      <xdr:colOff>1931223</xdr:colOff>
      <xdr:row>44</xdr:row>
      <xdr:rowOff>136566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EA614A3-6440-4592-8B86-E6506F134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55" y="9057409"/>
          <a:ext cx="1359723" cy="26477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544285</xdr:colOff>
      <xdr:row>30</xdr:row>
      <xdr:rowOff>-1</xdr:rowOff>
    </xdr:from>
    <xdr:to>
      <xdr:col>1</xdr:col>
      <xdr:colOff>1959394</xdr:colOff>
      <xdr:row>41</xdr:row>
      <xdr:rowOff>168728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97BF7B9-6C41-4017-8208-9FC2B861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1" y="7579178"/>
          <a:ext cx="1415109" cy="280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  <pageSetUpPr fitToPage="1"/>
  </sheetPr>
  <dimension ref="A1:K28"/>
  <sheetViews>
    <sheetView zoomScaleNormal="100" zoomScalePageLayoutView="120" workbookViewId="0">
      <selection activeCell="O9" sqref="O9"/>
    </sheetView>
  </sheetViews>
  <sheetFormatPr defaultColWidth="8.85546875" defaultRowHeight="15" x14ac:dyDescent="0.25"/>
  <cols>
    <col min="11" max="11" width="1.8554687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25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25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25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25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25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25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25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25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25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25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25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25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.75" thickBot="1" x14ac:dyDescent="0.3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</sheetData>
  <sheetProtection algorithmName="SHA-512" hashValue="UfBFkG2ujcPhMKjUXDE5ZNUEJciFr+DoXwCYuogPsqOkZyMrXFdY0TjymLwLr9ACWoIvePc6OXtztbhOQnhs0g==" saltValue="WD+XEMlvgEEVT+YJm63l2A==" spinCount="100000" sheet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1"/>
    <pageSetUpPr fitToPage="1"/>
  </sheetPr>
  <dimension ref="B1:AF72"/>
  <sheetViews>
    <sheetView zoomScale="55" zoomScaleNormal="55" zoomScalePageLayoutView="125" workbookViewId="0">
      <selection activeCell="C15" sqref="C15"/>
    </sheetView>
  </sheetViews>
  <sheetFormatPr defaultColWidth="8.85546875" defaultRowHeight="15" x14ac:dyDescent="0.25"/>
  <cols>
    <col min="1" max="1" width="1.7109375" style="11" customWidth="1"/>
    <col min="2" max="2" width="46.140625" style="11" customWidth="1"/>
    <col min="3" max="3" width="45.42578125" style="11" customWidth="1"/>
    <col min="4" max="4" width="19.140625" style="11" customWidth="1"/>
    <col min="5" max="8" width="14.7109375" style="11" customWidth="1"/>
    <col min="9" max="9" width="2.140625" style="11" customWidth="1"/>
    <col min="10" max="10" width="36.42578125" style="11" customWidth="1"/>
    <col min="11" max="11" width="15.7109375" style="11" customWidth="1"/>
    <col min="12" max="12" width="12.42578125" style="11" customWidth="1"/>
    <col min="13" max="13" width="16.140625" style="11" customWidth="1"/>
    <col min="14" max="14" width="12.28515625" style="11" customWidth="1"/>
    <col min="15" max="15" width="16.7109375" style="11" customWidth="1"/>
    <col min="16" max="16" width="8.42578125" style="52" customWidth="1"/>
    <col min="17" max="17" width="8.85546875" style="11" hidden="1" customWidth="1"/>
    <col min="18" max="18" width="29.85546875" style="11" hidden="1" customWidth="1"/>
    <col min="19" max="24" width="8.85546875" style="11" hidden="1" customWidth="1"/>
    <col min="25" max="25" width="17.42578125" style="11" hidden="1" customWidth="1"/>
    <col min="26" max="26" width="28.28515625" style="11" hidden="1" customWidth="1"/>
    <col min="27" max="27" width="18.5703125" style="11" hidden="1" customWidth="1"/>
    <col min="28" max="29" width="8.85546875" style="11" hidden="1" customWidth="1"/>
    <col min="30" max="31" width="8.85546875" style="11" customWidth="1"/>
    <col min="32" max="32" width="20" style="11" customWidth="1"/>
    <col min="33" max="33" width="21" style="11" customWidth="1"/>
    <col min="34" max="16384" width="8.85546875" style="11"/>
  </cols>
  <sheetData>
    <row r="1" spans="2:28" ht="19.5" thickBot="1" x14ac:dyDescent="0.3">
      <c r="B1" s="287" t="s">
        <v>60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9"/>
      <c r="P1" s="44"/>
    </row>
    <row r="2" spans="2:28" s="12" customFormat="1" x14ac:dyDescent="0.25">
      <c r="B2" s="329" t="s">
        <v>61</v>
      </c>
      <c r="C2" s="330"/>
      <c r="D2" s="330"/>
      <c r="E2" s="330"/>
      <c r="F2" s="330"/>
      <c r="G2" s="330"/>
      <c r="H2" s="331"/>
      <c r="I2" s="105"/>
      <c r="J2" s="337" t="s">
        <v>62</v>
      </c>
      <c r="K2" s="338"/>
      <c r="L2" s="338"/>
      <c r="M2" s="338"/>
      <c r="N2" s="338"/>
      <c r="O2" s="339"/>
      <c r="P2" s="45"/>
    </row>
    <row r="3" spans="2:28" s="15" customFormat="1" ht="15.75" x14ac:dyDescent="0.25">
      <c r="B3" s="364" t="s">
        <v>170</v>
      </c>
      <c r="C3" s="365"/>
      <c r="D3" s="13"/>
      <c r="E3" s="13"/>
      <c r="F3" s="13"/>
      <c r="G3" s="13"/>
      <c r="H3" s="14"/>
      <c r="I3" s="141"/>
      <c r="J3" s="326" t="s">
        <v>67</v>
      </c>
      <c r="K3" s="325"/>
      <c r="L3" s="13"/>
      <c r="M3" s="13"/>
      <c r="N3" s="13"/>
      <c r="O3" s="14"/>
      <c r="P3" s="13"/>
    </row>
    <row r="4" spans="2:28" ht="18.75" x14ac:dyDescent="0.25">
      <c r="B4" s="161" t="s">
        <v>82</v>
      </c>
      <c r="C4" s="162" t="s">
        <v>83</v>
      </c>
      <c r="D4" s="334" t="s">
        <v>84</v>
      </c>
      <c r="E4" s="335"/>
      <c r="F4" s="335"/>
      <c r="G4" s="335"/>
      <c r="H4" s="336"/>
      <c r="I4" s="17"/>
      <c r="J4" s="154" t="s">
        <v>63</v>
      </c>
      <c r="K4" s="156" t="s">
        <v>66</v>
      </c>
      <c r="L4" s="16"/>
      <c r="M4" s="16"/>
      <c r="N4" s="16"/>
      <c r="O4" s="21"/>
      <c r="P4" s="16"/>
      <c r="R4" s="176">
        <v>0</v>
      </c>
      <c r="Z4" s="11" t="s">
        <v>221</v>
      </c>
      <c r="AA4" s="11" t="s">
        <v>49</v>
      </c>
      <c r="AB4" s="11">
        <f>IF(C8=Z4,9,8)</f>
        <v>9</v>
      </c>
    </row>
    <row r="5" spans="2:28" ht="20.100000000000001" customHeight="1" x14ac:dyDescent="0.25">
      <c r="B5" s="157" t="s">
        <v>68</v>
      </c>
      <c r="C5" s="201">
        <v>3000</v>
      </c>
      <c r="D5" s="308" t="str">
        <f>IF(OR(K5&gt;1200,K5&lt;600),AA15,AA16)</f>
        <v>permissible</v>
      </c>
      <c r="E5" s="309"/>
      <c r="F5" s="309"/>
      <c r="G5" s="309"/>
      <c r="H5" s="310"/>
      <c r="I5" s="17"/>
      <c r="J5" s="155" t="s">
        <v>64</v>
      </c>
      <c r="K5" s="200">
        <f>ROUNDDOWN(IF(C9=R8,C5+39,
IF(AND(C9=R9,OR(C15=R38,C15=R39)),C5/2+39,
IF(AND(C9=R9,OR(C15=R40,C15=R41)),(C5-10)/2+39,
IF(AND(C9=R10,OR(C15=R38,C15=R39)),(C5+39)/2,
IF(AND(C9=R10,OR(C15=R40,C15=R41)),(C5-10+39)/2,
IF(AND(OR(C9=R11,C9=R15),OR(C15=R38,C15=R39)),(C5+39+39)/4,
IF(AND(OR(C9=R11,C9=R15),OR(C15=R40,C15=R41)),(C5-10+39+39)/4,
IF(AND(C9=R12,OR(C15=R38,C15=R39),C11&gt;1),(C5+53+(C11-1)*39)/C11,
IF(AND(C9=R12,OR(C15=R40,C15=R41),C11&gt;1),(C5-5+53+(C11-1)*39)/C11,
IF(AND(C9=R13,OR(C15=R38,C15=R39),C11&gt;1),(C5+(C11-1)*39)/C11,
IF(AND(C9=R13,OR(C15=R40,C15=R41),C11&gt;1),(C5-10+(C11-1)*39)/C11,
IF(AND(C9=R14,OR(C15=R38,C15=R39),C11&gt;1),(C5+39+39)/3,
IF(AND(C9=R14,OR(C15=R40,C15=R41),C11&gt;1),(C5-10+39+39)/3,0))))))))))))),0)</f>
        <v>767</v>
      </c>
      <c r="L5" s="17"/>
      <c r="M5" s="17"/>
      <c r="N5" s="17"/>
      <c r="O5" s="23"/>
      <c r="P5" s="16"/>
      <c r="R5" s="181">
        <v>1</v>
      </c>
      <c r="Z5" s="11" t="s">
        <v>158</v>
      </c>
      <c r="AA5" s="11" t="s">
        <v>4</v>
      </c>
    </row>
    <row r="6" spans="2:28" ht="20.100000000000001" customHeight="1" x14ac:dyDescent="0.25">
      <c r="B6" s="157" t="s">
        <v>69</v>
      </c>
      <c r="C6" s="201">
        <v>2600</v>
      </c>
      <c r="D6" s="308" t="str">
        <f>IF(K6&gt;3200,R18,R19)</f>
        <v>permissible</v>
      </c>
      <c r="E6" s="309"/>
      <c r="F6" s="309"/>
      <c r="G6" s="309"/>
      <c r="H6" s="310"/>
      <c r="I6" s="17"/>
      <c r="J6" s="155" t="s">
        <v>65</v>
      </c>
      <c r="K6" s="200">
        <f>IF(OR(C9=R8,C9=R9),C6+100-60,C6-60)</f>
        <v>2540</v>
      </c>
      <c r="L6" s="16"/>
      <c r="M6" s="16"/>
      <c r="N6" s="16"/>
      <c r="O6" s="21"/>
      <c r="P6" s="16"/>
      <c r="R6" s="176">
        <v>2</v>
      </c>
    </row>
    <row r="7" spans="2:28" ht="20.100000000000001" customHeight="1" thickBot="1" x14ac:dyDescent="0.3">
      <c r="B7" s="157" t="s">
        <v>70</v>
      </c>
      <c r="C7" s="202">
        <v>0</v>
      </c>
      <c r="D7" s="301" t="s">
        <v>169</v>
      </c>
      <c r="E7" s="298"/>
      <c r="F7" s="298"/>
      <c r="G7" s="298"/>
      <c r="H7" s="302"/>
      <c r="I7" s="17"/>
      <c r="J7" s="332"/>
      <c r="K7" s="333"/>
      <c r="L7" s="333"/>
      <c r="M7" s="333"/>
      <c r="N7" s="130"/>
      <c r="O7" s="46"/>
      <c r="P7" s="13"/>
      <c r="R7" s="47"/>
    </row>
    <row r="8" spans="2:28" ht="20.100000000000001" customHeight="1" thickBot="1" x14ac:dyDescent="0.3">
      <c r="B8" s="33" t="s">
        <v>71</v>
      </c>
      <c r="C8" s="20" t="s">
        <v>221</v>
      </c>
      <c r="D8" s="301"/>
      <c r="E8" s="298"/>
      <c r="F8" s="298"/>
      <c r="G8" s="298"/>
      <c r="H8" s="302"/>
      <c r="I8" s="17"/>
      <c r="J8" s="327" t="s">
        <v>163</v>
      </c>
      <c r="K8" s="328"/>
      <c r="L8" s="328"/>
      <c r="M8" s="328"/>
      <c r="N8" s="211"/>
      <c r="O8" s="212"/>
      <c r="P8" s="13"/>
      <c r="R8" s="48" t="s">
        <v>135</v>
      </c>
    </row>
    <row r="9" spans="2:28" ht="35.1" customHeight="1" x14ac:dyDescent="0.25">
      <c r="B9" s="158" t="s">
        <v>72</v>
      </c>
      <c r="C9" s="26" t="s">
        <v>138</v>
      </c>
      <c r="D9" s="296"/>
      <c r="E9" s="324"/>
      <c r="F9" s="324"/>
      <c r="G9" s="324"/>
      <c r="H9" s="297"/>
      <c r="I9" s="17"/>
      <c r="J9" s="206" t="s">
        <v>159</v>
      </c>
      <c r="K9" s="207" t="s">
        <v>108</v>
      </c>
      <c r="L9" s="208" t="s">
        <v>160</v>
      </c>
      <c r="M9" s="208" t="s">
        <v>94</v>
      </c>
      <c r="N9" s="209" t="s">
        <v>161</v>
      </c>
      <c r="O9" s="210" t="s">
        <v>162</v>
      </c>
      <c r="P9" s="51"/>
      <c r="R9" s="48" t="s">
        <v>136</v>
      </c>
    </row>
    <row r="10" spans="2:28" ht="35.1" customHeight="1" x14ac:dyDescent="0.25">
      <c r="B10" s="159" t="s">
        <v>73</v>
      </c>
      <c r="C10" s="204">
        <v>5</v>
      </c>
      <c r="D10" s="298" t="s">
        <v>165</v>
      </c>
      <c r="E10" s="299"/>
      <c r="F10" s="299"/>
      <c r="G10" s="299"/>
      <c r="H10" s="300"/>
      <c r="I10" s="17"/>
      <c r="J10" s="40" t="s">
        <v>102</v>
      </c>
      <c r="K10" s="131" t="s">
        <v>1</v>
      </c>
      <c r="L10" s="191">
        <f>K6</f>
        <v>2540</v>
      </c>
      <c r="M10" s="192">
        <f>IF(C9=R8,2,
IF(OR(C9=R9,C9=R10,C9=R11),4,
IF(C9=R14,6,
IF(OR(C9=R12,C9=R13),C11*2,
IF(C9=R15,8,0)))))</f>
        <v>4</v>
      </c>
      <c r="N10" s="121"/>
      <c r="O10" s="194">
        <f>IF(L10&gt;2650,M10,M10/2)</f>
        <v>2</v>
      </c>
      <c r="P10" s="51"/>
      <c r="R10" s="48" t="s">
        <v>137</v>
      </c>
    </row>
    <row r="11" spans="2:28" ht="35.1" customHeight="1" x14ac:dyDescent="0.25">
      <c r="B11" s="159" t="s">
        <v>73</v>
      </c>
      <c r="C11" s="24">
        <v>2</v>
      </c>
      <c r="D11" s="293" t="s">
        <v>168</v>
      </c>
      <c r="E11" s="294"/>
      <c r="F11" s="294"/>
      <c r="G11" s="294"/>
      <c r="H11" s="295"/>
      <c r="I11" s="17"/>
      <c r="J11" s="40" t="s">
        <v>103</v>
      </c>
      <c r="K11" s="126" t="s">
        <v>5</v>
      </c>
      <c r="L11" s="191">
        <f>IF(C9=R8,C5+K5-52,
IF(C9=R9,C5+K5*2-104,
IF(OR(C9=R10,C9=R11,C9=R13,C9=R14,C9=R15),C5,
IF(C9=R12,C5+K5-39,0))))</f>
        <v>3000</v>
      </c>
      <c r="M11" s="192">
        <f>IF(C9=R10,2,
IF(C9=R14,2,
IF(OR(C9=R8,C9=R9,C9=R11),1,
IF(OR(C9=R12,C9=R13),C11,
IF(C9=R15,2,0)))))</f>
        <v>1</v>
      </c>
      <c r="N11" s="191">
        <f>L11*M11</f>
        <v>3000</v>
      </c>
      <c r="O11" s="194">
        <f>CEILING((L11*M11)/5000,1)</f>
        <v>1</v>
      </c>
      <c r="P11" s="51"/>
      <c r="Q11" s="52"/>
      <c r="R11" s="48" t="s">
        <v>138</v>
      </c>
    </row>
    <row r="12" spans="2:28" ht="35.1" customHeight="1" x14ac:dyDescent="0.25">
      <c r="B12" s="35" t="s">
        <v>74</v>
      </c>
      <c r="C12" s="25" t="s">
        <v>146</v>
      </c>
      <c r="D12" s="293" t="s">
        <v>168</v>
      </c>
      <c r="E12" s="294"/>
      <c r="F12" s="294"/>
      <c r="G12" s="294"/>
      <c r="H12" s="295"/>
      <c r="I12" s="17"/>
      <c r="J12" s="146" t="s">
        <v>104</v>
      </c>
      <c r="K12" s="131" t="s">
        <v>6</v>
      </c>
      <c r="L12" s="191">
        <f>IF(OR(C9=R8,C9=R9),38,0)</f>
        <v>0</v>
      </c>
      <c r="M12" s="192">
        <f>IF(OR(C9=R8,C9=R9),2,0)</f>
        <v>0</v>
      </c>
      <c r="N12" s="312">
        <f>L13*M13+L12*M12</f>
        <v>3000</v>
      </c>
      <c r="O12" s="279">
        <f>CEILING((L13*M13+L12*M12)/5000,1)</f>
        <v>1</v>
      </c>
      <c r="P12" s="51"/>
      <c r="R12" s="48" t="s">
        <v>139</v>
      </c>
    </row>
    <row r="13" spans="2:28" ht="34.5" customHeight="1" x14ac:dyDescent="0.25">
      <c r="B13" s="53" t="s">
        <v>134</v>
      </c>
      <c r="C13" s="25" t="s">
        <v>148</v>
      </c>
      <c r="D13" s="293"/>
      <c r="E13" s="294"/>
      <c r="F13" s="294"/>
      <c r="G13" s="294"/>
      <c r="H13" s="295"/>
      <c r="I13" s="17"/>
      <c r="J13" s="146" t="s">
        <v>104</v>
      </c>
      <c r="K13" s="131" t="s">
        <v>6</v>
      </c>
      <c r="L13" s="191">
        <f>IF(OR(C9=R8,C9=R9),L11+8,
IF(OR(C9=R10,C9=R11,C9=R12,C9=R13,C9=R14,C9=R15),L11,0))</f>
        <v>3000</v>
      </c>
      <c r="M13" s="193">
        <f>IF(OR(C9=R8,C9=R9,C9=R11,C9=R12),1,
IF(OR(C9=R10,C9=R13,C9=R15),2,
IF(C9=R14,1,0)))</f>
        <v>1</v>
      </c>
      <c r="N13" s="313"/>
      <c r="O13" s="280"/>
      <c r="P13" s="51"/>
      <c r="R13" s="48" t="s">
        <v>140</v>
      </c>
    </row>
    <row r="14" spans="2:28" ht="34.5" customHeight="1" x14ac:dyDescent="0.25">
      <c r="B14" s="54" t="s">
        <v>75</v>
      </c>
      <c r="C14" s="25" t="s">
        <v>148</v>
      </c>
      <c r="D14" s="306" t="s">
        <v>167</v>
      </c>
      <c r="E14" s="293"/>
      <c r="F14" s="293"/>
      <c r="G14" s="293"/>
      <c r="H14" s="307"/>
      <c r="I14" s="17"/>
      <c r="J14" s="40" t="s">
        <v>105</v>
      </c>
      <c r="K14" s="131" t="s">
        <v>2</v>
      </c>
      <c r="L14" s="191">
        <f>K5-78</f>
        <v>689</v>
      </c>
      <c r="M14" s="192">
        <f>C10</f>
        <v>5</v>
      </c>
      <c r="N14" s="191">
        <f>L14*M14</f>
        <v>3445</v>
      </c>
      <c r="O14" s="194">
        <f>CEILING((L14*M14)/5000,1)</f>
        <v>1</v>
      </c>
      <c r="P14" s="51"/>
      <c r="R14" s="48" t="s">
        <v>141</v>
      </c>
    </row>
    <row r="15" spans="2:28" ht="44.25" customHeight="1" x14ac:dyDescent="0.25">
      <c r="B15" s="160" t="s">
        <v>78</v>
      </c>
      <c r="C15" s="25" t="s">
        <v>153</v>
      </c>
      <c r="D15" s="301" t="s">
        <v>166</v>
      </c>
      <c r="E15" s="301"/>
      <c r="F15" s="301"/>
      <c r="G15" s="301"/>
      <c r="H15" s="302"/>
      <c r="I15" s="17"/>
      <c r="J15" s="40" t="s">
        <v>106</v>
      </c>
      <c r="K15" s="131" t="s">
        <v>3</v>
      </c>
      <c r="L15" s="191">
        <f>K5-78</f>
        <v>689</v>
      </c>
      <c r="M15" s="192">
        <f>C10</f>
        <v>5</v>
      </c>
      <c r="N15" s="191">
        <f>L15*M15</f>
        <v>3445</v>
      </c>
      <c r="O15" s="194">
        <f>CEILING((L15*M15)/5000,1)</f>
        <v>1</v>
      </c>
      <c r="P15" s="51"/>
      <c r="R15" s="11" t="s">
        <v>142</v>
      </c>
      <c r="AA15" s="190" t="s">
        <v>157</v>
      </c>
    </row>
    <row r="16" spans="2:28" ht="35.1" customHeight="1" x14ac:dyDescent="0.25">
      <c r="B16" s="54" t="s">
        <v>77</v>
      </c>
      <c r="C16" s="25" t="s">
        <v>148</v>
      </c>
      <c r="D16" s="296"/>
      <c r="E16" s="296"/>
      <c r="F16" s="296"/>
      <c r="G16" s="296"/>
      <c r="H16" s="297"/>
      <c r="I16" s="17"/>
      <c r="J16" s="122" t="str">
        <f>C8</f>
        <v>Dividing Rail Standard System</v>
      </c>
      <c r="K16" s="131" t="str">
        <f>IF(J16=Z4,AA4,AA5)</f>
        <v>AS0640.VP540</v>
      </c>
      <c r="L16" s="191">
        <f>IF(AND(C8=Z5,C7&gt;0),K5-78,IF(AND(C8=Z4,C7&gt;0),K5-76,0))</f>
        <v>0</v>
      </c>
      <c r="M16" s="192">
        <f>M15*C7</f>
        <v>0</v>
      </c>
      <c r="N16" s="191">
        <f>L16*M16</f>
        <v>0</v>
      </c>
      <c r="O16" s="194">
        <f>IF(L16="нет",0,CEILING((L16*M16)/5000,1))</f>
        <v>0</v>
      </c>
      <c r="P16" s="51"/>
      <c r="X16" s="11" t="s">
        <v>0</v>
      </c>
      <c r="AA16" s="189" t="s">
        <v>144</v>
      </c>
    </row>
    <row r="17" spans="2:24" ht="35.1" customHeight="1" thickBot="1" x14ac:dyDescent="0.3">
      <c r="B17" s="54" t="s">
        <v>76</v>
      </c>
      <c r="C17" s="31" t="s">
        <v>148</v>
      </c>
      <c r="D17" s="301" t="str">
        <f>IF((K5&gt;=650),R72,R71)</f>
        <v>permissible</v>
      </c>
      <c r="E17" s="301"/>
      <c r="F17" s="301"/>
      <c r="G17" s="301"/>
      <c r="H17" s="302"/>
      <c r="I17" s="17"/>
      <c r="J17" s="303"/>
      <c r="K17" s="304"/>
      <c r="L17" s="304"/>
      <c r="M17" s="304"/>
      <c r="N17" s="304"/>
      <c r="O17" s="305"/>
      <c r="P17" s="51"/>
      <c r="X17" s="11" t="s">
        <v>0</v>
      </c>
    </row>
    <row r="18" spans="2:24" ht="35.1" customHeight="1" x14ac:dyDescent="0.25">
      <c r="B18" s="55" t="s">
        <v>79</v>
      </c>
      <c r="C18" s="203">
        <v>0</v>
      </c>
      <c r="D18" s="301" t="s">
        <v>212</v>
      </c>
      <c r="E18" s="301"/>
      <c r="F18" s="301"/>
      <c r="G18" s="301"/>
      <c r="H18" s="302"/>
      <c r="I18" s="17"/>
      <c r="J18" s="22"/>
      <c r="K18" s="17"/>
      <c r="L18" s="17"/>
      <c r="M18" s="17"/>
      <c r="N18" s="17"/>
      <c r="O18" s="23"/>
      <c r="P18" s="51"/>
      <c r="R18" s="182" t="s">
        <v>143</v>
      </c>
    </row>
    <row r="19" spans="2:24" ht="35.1" customHeight="1" x14ac:dyDescent="0.25">
      <c r="B19" s="54" t="s">
        <v>80</v>
      </c>
      <c r="C19" s="31" t="s">
        <v>148</v>
      </c>
      <c r="D19" s="298" t="str">
        <f>IF(OR(C9=R8,C9=R10,C9=R12,C9=R13,C9=R14),"cannot be installed","permissible")</f>
        <v>permissible</v>
      </c>
      <c r="E19" s="299"/>
      <c r="F19" s="299"/>
      <c r="G19" s="299"/>
      <c r="H19" s="300"/>
      <c r="I19" s="17"/>
      <c r="J19" s="22"/>
      <c r="K19" s="17"/>
      <c r="L19" s="17"/>
      <c r="M19" s="17"/>
      <c r="N19" s="17"/>
      <c r="O19" s="23"/>
      <c r="P19" s="51"/>
      <c r="R19" s="183" t="s">
        <v>144</v>
      </c>
    </row>
    <row r="20" spans="2:24" ht="35.1" customHeight="1" thickBot="1" x14ac:dyDescent="0.3">
      <c r="B20" s="56" t="s">
        <v>81</v>
      </c>
      <c r="C20" s="30" t="s">
        <v>148</v>
      </c>
      <c r="D20" s="290" t="str">
        <f>IF(OR(C9=R8,C9=R9,C9=R11,C9=R15),"cannot be installed",IF(C9=R12,"permissible with Sequential Synchronous Door Kit","permissible"))</f>
        <v>cannot be installed</v>
      </c>
      <c r="E20" s="291"/>
      <c r="F20" s="291"/>
      <c r="G20" s="291"/>
      <c r="H20" s="292"/>
      <c r="I20" s="17"/>
      <c r="J20" s="22"/>
      <c r="K20" s="17"/>
      <c r="L20" s="17"/>
      <c r="M20" s="17"/>
      <c r="N20" s="17"/>
      <c r="O20" s="23"/>
      <c r="P20" s="51"/>
    </row>
    <row r="21" spans="2:24" ht="22.5" customHeight="1" thickBot="1" x14ac:dyDescent="0.3">
      <c r="I21" s="17"/>
      <c r="J21" s="326" t="s">
        <v>109</v>
      </c>
      <c r="K21" s="325"/>
      <c r="L21" s="325"/>
      <c r="M21" s="17"/>
      <c r="N21" s="17"/>
      <c r="O21" s="23"/>
      <c r="P21" s="51"/>
      <c r="R21" s="11" t="s">
        <v>145</v>
      </c>
    </row>
    <row r="22" spans="2:24" ht="35.1" customHeight="1" x14ac:dyDescent="0.25">
      <c r="B22" s="17"/>
      <c r="C22" s="17"/>
      <c r="D22" s="17"/>
      <c r="E22" s="17"/>
      <c r="F22" s="142"/>
      <c r="G22" s="17"/>
      <c r="H22" s="17"/>
      <c r="I22" s="17"/>
      <c r="J22" s="320" t="s">
        <v>107</v>
      </c>
      <c r="K22" s="321"/>
      <c r="L22" s="321"/>
      <c r="M22" s="172" t="s">
        <v>108</v>
      </c>
      <c r="N22" s="173" t="s">
        <v>94</v>
      </c>
      <c r="O22" s="23"/>
      <c r="P22" s="51"/>
      <c r="R22" s="11" t="s">
        <v>146</v>
      </c>
    </row>
    <row r="23" spans="2:24" ht="15.75" x14ac:dyDescent="0.25">
      <c r="B23" s="325" t="s">
        <v>85</v>
      </c>
      <c r="C23" s="325"/>
      <c r="D23" s="325"/>
      <c r="E23" s="325"/>
      <c r="F23" s="325"/>
      <c r="G23" s="325"/>
      <c r="H23" s="325"/>
      <c r="I23" s="17"/>
      <c r="J23" s="281" t="s">
        <v>110</v>
      </c>
      <c r="K23" s="282"/>
      <c r="L23" s="283"/>
      <c r="M23" s="128" t="s">
        <v>34</v>
      </c>
      <c r="N23" s="120">
        <f>C10</f>
        <v>5</v>
      </c>
      <c r="O23" s="23"/>
      <c r="P23" s="51"/>
    </row>
    <row r="24" spans="2:24" ht="15.75" customHeight="1" x14ac:dyDescent="0.25">
      <c r="B24" s="340" t="s">
        <v>86</v>
      </c>
      <c r="C24" s="340"/>
      <c r="D24" s="340"/>
      <c r="E24" s="340"/>
      <c r="F24" s="340"/>
      <c r="G24" s="340"/>
      <c r="H24" s="340"/>
      <c r="I24" s="17"/>
      <c r="J24" s="281" t="s">
        <v>111</v>
      </c>
      <c r="K24" s="282"/>
      <c r="L24" s="283"/>
      <c r="M24" s="128" t="s">
        <v>35</v>
      </c>
      <c r="N24" s="120">
        <f>IF(OR(C9=R8,C9=R9,C9=R10,C9=R11),N23,
IF(AND(C9=R12,C11&gt;1),1,
IF(AND(C9=R13,C11&gt;1),3,
IF(C9=R14,3,
IF(C9=R15,6,0)))))</f>
        <v>5</v>
      </c>
      <c r="O24" s="23"/>
      <c r="P24" s="51"/>
    </row>
    <row r="25" spans="2:24" ht="15.75" customHeight="1" x14ac:dyDescent="0.25">
      <c r="B25" s="340"/>
      <c r="C25" s="340"/>
      <c r="D25" s="340"/>
      <c r="E25" s="340"/>
      <c r="F25" s="340"/>
      <c r="G25" s="340"/>
      <c r="H25" s="340"/>
      <c r="I25" s="17"/>
      <c r="J25" s="281" t="s">
        <v>112</v>
      </c>
      <c r="K25" s="282"/>
      <c r="L25" s="283"/>
      <c r="M25" s="133" t="s">
        <v>36</v>
      </c>
      <c r="N25" s="120">
        <f>IF(OR(C9=R8,C9=R10,C9=R14),ROUNDUP((N23*2-N31)/2,0),
IF(AND(N31=0,OR(C9=R9,C9=R11)),2,
IF(AND(N31=0,C9=R15),3,
IF(AND(C14=R25,OR(C9=R9,C9=R11)),0,
IF(AND(C14=R25,C9=R15),1,
IF(AND(C14=R26,OR(C9=R9,C9=R11)),ROUNDUP((N23*2-N31)/2,0),
IF(AND(C14=R26,C9=R15),ROUNDUP(((N23-2)*2-N31)/2+1,0),
IF(OR(AND(C13=R25,OR(C9=R13,C9=R12),N31=0),AND(C13=R26,OR(C9=R13,C9=R12),N31&lt;&gt;0),AND(C13=R26,OR(C9=R13,C9=R12),N31=0)),1,0))))))))</f>
        <v>4</v>
      </c>
      <c r="O25" s="23"/>
      <c r="P25" s="51"/>
      <c r="R25" s="11" t="s">
        <v>147</v>
      </c>
    </row>
    <row r="26" spans="2:24" ht="15.75" customHeight="1" x14ac:dyDescent="0.25">
      <c r="B26" s="340"/>
      <c r="C26" s="340"/>
      <c r="D26" s="340"/>
      <c r="E26" s="340"/>
      <c r="F26" s="340"/>
      <c r="G26" s="340"/>
      <c r="H26" s="340"/>
      <c r="I26" s="17"/>
      <c r="J26" s="284" t="s">
        <v>113</v>
      </c>
      <c r="K26" s="285"/>
      <c r="L26" s="286"/>
      <c r="M26" s="125" t="s">
        <v>46</v>
      </c>
      <c r="N26" s="177">
        <f>IF(OR(C9=R8,C9=R10,C9=R14),N31,
IF(AND(N31&lt;&gt;0,C14=R25,OR(C9=R9,C9=R11,C9=R15)),4,
IF(AND(N31&lt;&gt;0,C14=R26,OR(C9=R9,C9=R11,C9=R15)),N31,
IF(AND(C13=R25,C9=R12,N31&lt;&gt;0),2,
IF(AND(C13=R26,C9=R12,N31&lt;&gt;0),N31,
IF(AND(C13=R25,C9=R13,N31&lt;&gt;0),3,
IF(AND(C13=R26,C9=R13,N31&lt;&gt;0),N31+1,
IF(AND(OR(C13=R26,C13=R25),C9=R13,N31=0),1,0))))))))</f>
        <v>2</v>
      </c>
      <c r="O26" s="23"/>
      <c r="P26" s="51"/>
      <c r="R26" s="11" t="s">
        <v>148</v>
      </c>
    </row>
    <row r="27" spans="2:24" ht="15.75" x14ac:dyDescent="0.25">
      <c r="B27" s="17"/>
      <c r="C27" s="17"/>
      <c r="D27" s="17"/>
      <c r="E27" s="17"/>
      <c r="F27" s="17"/>
      <c r="G27" s="17"/>
      <c r="H27" s="17"/>
      <c r="I27" s="17"/>
      <c r="J27" s="281" t="s">
        <v>75</v>
      </c>
      <c r="K27" s="282"/>
      <c r="L27" s="283"/>
      <c r="M27" s="128" t="s">
        <v>38</v>
      </c>
      <c r="N27" s="178">
        <f>IF(OR(AND(C9=R11,C14=R25),AND(C9=R9,C14=R25),AND(C9=R15,C14=R25)),1,0)</f>
        <v>0</v>
      </c>
      <c r="O27" s="23"/>
      <c r="P27" s="51"/>
    </row>
    <row r="28" spans="2:24" ht="19.5" thickBot="1" x14ac:dyDescent="0.3">
      <c r="B28" s="164" t="s">
        <v>87</v>
      </c>
      <c r="C28" s="136"/>
      <c r="D28" s="136"/>
      <c r="E28" s="136"/>
      <c r="F28" s="136"/>
      <c r="G28" s="136"/>
      <c r="H28" s="136"/>
      <c r="I28" s="17"/>
      <c r="J28" s="284" t="s">
        <v>134</v>
      </c>
      <c r="K28" s="285"/>
      <c r="L28" s="286"/>
      <c r="M28" s="128" t="s">
        <v>51</v>
      </c>
      <c r="N28" s="178">
        <f>IF(C13=R26,0,IF(C9=R12,C11-1,IF(C9=R13,C11-2,0)))</f>
        <v>0</v>
      </c>
      <c r="O28" s="23"/>
      <c r="P28" s="51"/>
    </row>
    <row r="29" spans="2:24" ht="19.5" thickBot="1" x14ac:dyDescent="0.3">
      <c r="B29" s="58"/>
      <c r="C29" s="59"/>
      <c r="D29" s="59"/>
      <c r="E29" s="59"/>
      <c r="F29" s="59"/>
      <c r="G29" s="59"/>
      <c r="H29" s="60"/>
      <c r="I29" s="17"/>
      <c r="J29" s="284" t="s">
        <v>114</v>
      </c>
      <c r="K29" s="285"/>
      <c r="L29" s="286"/>
      <c r="M29" s="128" t="s">
        <v>39</v>
      </c>
      <c r="N29" s="178">
        <f>IF(AND(C9=R12,C12=R21),C11-1,
IF(AND(C9=R13,C12=R21),C11-2,0))</f>
        <v>0</v>
      </c>
      <c r="O29" s="23"/>
      <c r="P29" s="51"/>
      <c r="R29" s="184" t="s">
        <v>149</v>
      </c>
    </row>
    <row r="30" spans="2:24" ht="19.5" thickBot="1" x14ac:dyDescent="0.35">
      <c r="B30" s="165" t="s">
        <v>88</v>
      </c>
      <c r="C30" s="205">
        <v>1</v>
      </c>
      <c r="D30" s="62" t="str">
        <f>IF(C30&gt;5,R35,R36)</f>
        <v xml:space="preserve"> </v>
      </c>
      <c r="E30" s="132"/>
      <c r="F30" s="132"/>
      <c r="G30" s="132"/>
      <c r="H30" s="63"/>
      <c r="I30" s="17"/>
      <c r="J30" s="284" t="s">
        <v>115</v>
      </c>
      <c r="K30" s="285"/>
      <c r="L30" s="286"/>
      <c r="M30" s="128" t="s">
        <v>40</v>
      </c>
      <c r="N30" s="178">
        <f>IF(AND(C9=R12,C12=R22),C11-1,
IF(AND(C9=R13,C12=R22),C11-2,0))</f>
        <v>0</v>
      </c>
      <c r="O30" s="23"/>
      <c r="P30" s="51"/>
      <c r="R30" s="184" t="s">
        <v>150</v>
      </c>
    </row>
    <row r="31" spans="2:24" ht="18.75" x14ac:dyDescent="0.25">
      <c r="B31" s="65"/>
      <c r="C31" s="66"/>
      <c r="D31" s="66"/>
      <c r="E31" s="66"/>
      <c r="F31" s="66"/>
      <c r="G31" s="66"/>
      <c r="H31" s="67"/>
      <c r="I31" s="17"/>
      <c r="J31" s="284" t="s">
        <v>116</v>
      </c>
      <c r="K31" s="285"/>
      <c r="L31" s="286"/>
      <c r="M31" s="133" t="s">
        <v>42</v>
      </c>
      <c r="N31" s="178">
        <f>IF(OR(D17=R71,C17="нет"),0,
IF(AND(C9=R8,K5&gt;=900),2,
IF(AND(C9=R8,K5&gt;=650,K5&lt;900),1,
IF(AND(C14=R26,OR(C9=R9,C9=R11,C9=R15),K5&gt;=900),4,
IF(AND(C14=R26,OR(C9=R9,C9=R11,C9=R15),K5&lt;900),2,
IF(AND(C14=R25,OR(C9=R9,C9=R11,C9=R15)),2,
IF(AND(C9=R10,K5&gt;=900),4,
IF(AND(C9=R10,K5&gt;=650,K5&lt;900),2,
IF(AND(C9=R14,K5&gt;=900),6,
IF(AND(C9=R14,K5&gt;=650,K5&lt;900),3,
IF(C9=R12,C10,
IF(C9=R13,C10-1,0))))))))))))</f>
        <v>2</v>
      </c>
      <c r="O31" s="23"/>
      <c r="P31" s="51"/>
      <c r="R31" s="184" t="s">
        <v>151</v>
      </c>
    </row>
    <row r="32" spans="2:24" ht="18.75" x14ac:dyDescent="0.25">
      <c r="B32" s="65"/>
      <c r="C32" s="66"/>
      <c r="D32" s="66"/>
      <c r="E32" s="66"/>
      <c r="F32" s="66"/>
      <c r="G32" s="66"/>
      <c r="H32" s="67"/>
      <c r="I32" s="17"/>
      <c r="J32" s="315" t="s">
        <v>117</v>
      </c>
      <c r="K32" s="316"/>
      <c r="L32" s="316"/>
      <c r="M32" s="145" t="s">
        <v>9</v>
      </c>
      <c r="N32" s="178">
        <f>M14*2+M15*2+M16*2</f>
        <v>20</v>
      </c>
      <c r="O32" s="23"/>
      <c r="P32" s="51"/>
    </row>
    <row r="33" spans="2:25" ht="18.75" x14ac:dyDescent="0.25">
      <c r="B33" s="166" t="s">
        <v>89</v>
      </c>
      <c r="C33" s="167" t="s">
        <v>90</v>
      </c>
      <c r="D33" s="168" t="s">
        <v>91</v>
      </c>
      <c r="E33" s="167" t="s">
        <v>92</v>
      </c>
      <c r="F33" s="167" t="s">
        <v>93</v>
      </c>
      <c r="G33" s="167" t="s">
        <v>94</v>
      </c>
      <c r="H33" s="169" t="s">
        <v>95</v>
      </c>
      <c r="I33" s="17"/>
      <c r="J33" s="281" t="s">
        <v>118</v>
      </c>
      <c r="K33" s="282"/>
      <c r="L33" s="283"/>
      <c r="M33" s="145" t="s">
        <v>37</v>
      </c>
      <c r="N33" s="179">
        <f>IF(OR(C9=R8,C9=R9),ROUNDUP(L11/500+1,0),0)</f>
        <v>0</v>
      </c>
      <c r="O33" s="23"/>
      <c r="P33" s="17"/>
    </row>
    <row r="34" spans="2:25" ht="18.75" x14ac:dyDescent="0.25">
      <c r="B34" s="170" t="s">
        <v>96</v>
      </c>
      <c r="C34" s="29" t="s">
        <v>151</v>
      </c>
      <c r="D34" s="199">
        <v>0</v>
      </c>
      <c r="E34" s="195">
        <f>K6-IF(E38=0,0,IF(C38=R29,E38,IF(C38=R30,E38+2,E38+3)))-IF(E37=0,0,IF(C37=R29,E37,IF(C37=R30,E37+2,E37+3)))-IF(E36=0,0,IF(C36=R29,E36,IF(C36=R30,E36+2,E36+3)))-IF(E35=0,0,IF(C35=R29,E35,IF(C35=R30,E35+2,E35+3)))-44-IF(C34=R30,2,IF(C34=R31,3,0))-C7*AB4</f>
        <v>2493</v>
      </c>
      <c r="F34" s="196">
        <f>IF(C34=$R$31,$K$5-63,IF(C34=$R$30,$K$5-62,$K$5-60))</f>
        <v>704</v>
      </c>
      <c r="G34" s="198">
        <f>$C$10</f>
        <v>5</v>
      </c>
      <c r="H34" s="276">
        <f>E34*F34*D34*G34/1000000</f>
        <v>0</v>
      </c>
      <c r="I34" s="137">
        <f>IF(E34&lt;&gt;0,1,0)</f>
        <v>1</v>
      </c>
      <c r="J34" s="281" t="s">
        <v>119</v>
      </c>
      <c r="K34" s="282"/>
      <c r="L34" s="283"/>
      <c r="M34" s="145" t="s">
        <v>33</v>
      </c>
      <c r="N34" s="178">
        <f>IF(OR(C9=R8,C9=R9),2,0)</f>
        <v>0</v>
      </c>
      <c r="O34" s="23"/>
      <c r="P34" s="51"/>
    </row>
    <row r="35" spans="2:25" ht="18.75" x14ac:dyDescent="0.25">
      <c r="B35" s="170" t="s">
        <v>97</v>
      </c>
      <c r="C35" s="29" t="s">
        <v>151</v>
      </c>
      <c r="D35" s="199">
        <v>0</v>
      </c>
      <c r="E35" s="197">
        <v>0</v>
      </c>
      <c r="F35" s="196">
        <f>IF(C35=$R$31,$K$5-63,IF(C35=$R$30,$K$5-62,$K$5-60))</f>
        <v>704</v>
      </c>
      <c r="G35" s="198">
        <f>IF(E35&lt;&gt;0,$C$10,0)</f>
        <v>0</v>
      </c>
      <c r="H35" s="276">
        <f t="shared" ref="H35:H38" si="0">E35*F35*D35*G35/1000000</f>
        <v>0</v>
      </c>
      <c r="I35" s="137">
        <f>IF(E35&lt;&gt;0,1,0)</f>
        <v>0</v>
      </c>
      <c r="J35" s="343" t="s">
        <v>120</v>
      </c>
      <c r="K35" s="344"/>
      <c r="L35" s="344"/>
      <c r="M35" s="174" t="s">
        <v>128</v>
      </c>
      <c r="N35" s="118">
        <f>ROUNDUP((IF(C34=R30,(E34+F34)*2*G34,0)+IF(C35=R30,(E35+F35)*2*G35,0)+IF(C36=R30,(E36+F36)*2*G36,0)+IF(C37=R30,(E37+F37)*2*G37,0)+IF(C38=R30,(E38+F38)*2*G38,0))/1000,0)</f>
        <v>0</v>
      </c>
      <c r="O35" s="23"/>
      <c r="P35" s="51"/>
      <c r="R35" s="74" t="s">
        <v>152</v>
      </c>
    </row>
    <row r="36" spans="2:25" ht="18.75" x14ac:dyDescent="0.25">
      <c r="B36" s="170" t="s">
        <v>98</v>
      </c>
      <c r="C36" s="29" t="s">
        <v>151</v>
      </c>
      <c r="D36" s="199">
        <v>0</v>
      </c>
      <c r="E36" s="197">
        <v>0</v>
      </c>
      <c r="F36" s="196">
        <f>IF(C36=$R$31,$K$5-63,IF(C36=$R$30,$K$5-62,$K$5-60))</f>
        <v>704</v>
      </c>
      <c r="G36" s="198">
        <f>IF(E36&lt;&gt;0,$C$10,0)</f>
        <v>0</v>
      </c>
      <c r="H36" s="276">
        <f t="shared" si="0"/>
        <v>0</v>
      </c>
      <c r="I36" s="137">
        <f>IF(E36&lt;&gt;0,1,0)</f>
        <v>0</v>
      </c>
      <c r="J36" s="345" t="s">
        <v>121</v>
      </c>
      <c r="K36" s="346"/>
      <c r="L36" s="346"/>
      <c r="M36" s="174" t="s">
        <v>129</v>
      </c>
      <c r="N36" s="118">
        <f>ROUNDUP((IF(C34=R31,(E34+F34)*2*G34,0)+IF(C35=R31,(E35+F35)*2*G35,0)+IF(C36=R31,(E36+F36)*2*G36,0)+IF(C37=R31,(E37+F37)*2*G37,0)+IF(C38=R31,(E38+F38)*2*G38,0))/1000,0)</f>
        <v>32</v>
      </c>
      <c r="O36" s="23"/>
      <c r="P36" s="51"/>
      <c r="R36" s="74" t="s">
        <v>0</v>
      </c>
    </row>
    <row r="37" spans="2:25" ht="18.75" x14ac:dyDescent="0.25">
      <c r="B37" s="170" t="s">
        <v>99</v>
      </c>
      <c r="C37" s="29" t="s">
        <v>151</v>
      </c>
      <c r="D37" s="199">
        <v>0</v>
      </c>
      <c r="E37" s="197">
        <v>0</v>
      </c>
      <c r="F37" s="196">
        <f>IF(C37=$R$31,$K$5-63,IF(C37=$R$30,$K$5-62,$K$5-60))</f>
        <v>704</v>
      </c>
      <c r="G37" s="198">
        <f>IF(E37&lt;&gt;0,$C$10,0)</f>
        <v>0</v>
      </c>
      <c r="H37" s="276">
        <f t="shared" si="0"/>
        <v>0</v>
      </c>
      <c r="I37" s="137">
        <f>IF(E37&lt;&gt;0,1,0)</f>
        <v>0</v>
      </c>
      <c r="J37" s="284" t="s">
        <v>122</v>
      </c>
      <c r="K37" s="285"/>
      <c r="L37" s="286"/>
      <c r="M37" s="145" t="s">
        <v>41</v>
      </c>
      <c r="N37" s="178">
        <f>IF(AND(C16=R25,OR(C9=R12,C9=R8,C9=R13)),1,IF(AND(OR(C9=R10,C9=R9,C9=R11,C9=R15),C16=R25),2,IF(AND(C9=R14,C16=R25),3,0)))</f>
        <v>0</v>
      </c>
      <c r="O37" s="23"/>
      <c r="P37" s="51"/>
    </row>
    <row r="38" spans="2:25" ht="19.5" thickBot="1" x14ac:dyDescent="0.3">
      <c r="B38" s="171" t="s">
        <v>100</v>
      </c>
      <c r="C38" s="29" t="s">
        <v>151</v>
      </c>
      <c r="D38" s="199">
        <v>0</v>
      </c>
      <c r="E38" s="197">
        <v>0</v>
      </c>
      <c r="F38" s="196">
        <f>IF(C38=$R$31,$K$5-63,IF(C38=$R$30,$K$5-62,$K$5-60))</f>
        <v>704</v>
      </c>
      <c r="G38" s="198">
        <f>IF(E38&lt;&gt;0,$C$10,0)</f>
        <v>0</v>
      </c>
      <c r="H38" s="276">
        <f t="shared" si="0"/>
        <v>0</v>
      </c>
      <c r="I38" s="137">
        <f>IF(E38&lt;&gt;0,1,0)</f>
        <v>0</v>
      </c>
      <c r="J38" s="284" t="s">
        <v>123</v>
      </c>
      <c r="K38" s="285"/>
      <c r="L38" s="286"/>
      <c r="M38" s="145" t="s">
        <v>12</v>
      </c>
      <c r="N38" s="178">
        <f>IF(C15=R38,N32,0)</f>
        <v>0</v>
      </c>
      <c r="O38" s="23"/>
      <c r="P38" s="16"/>
      <c r="R38" s="185" t="s">
        <v>123</v>
      </c>
    </row>
    <row r="39" spans="2:25" ht="19.5" thickBot="1" x14ac:dyDescent="0.3">
      <c r="B39" s="65"/>
      <c r="C39" s="66"/>
      <c r="D39" s="66"/>
      <c r="E39" s="341" t="s">
        <v>101</v>
      </c>
      <c r="F39" s="341"/>
      <c r="G39" s="342"/>
      <c r="H39" s="277">
        <f>SUM(H34:H38)</f>
        <v>0</v>
      </c>
      <c r="I39" s="17"/>
      <c r="J39" s="284" t="s">
        <v>124</v>
      </c>
      <c r="K39" s="285"/>
      <c r="L39" s="286"/>
      <c r="M39" s="119" t="s">
        <v>13</v>
      </c>
      <c r="N39" s="180">
        <f>IF(C15=R39,N32,0)</f>
        <v>0</v>
      </c>
      <c r="O39" s="23"/>
      <c r="P39" s="16"/>
      <c r="R39" s="186" t="s">
        <v>124</v>
      </c>
    </row>
    <row r="40" spans="2:25" ht="18.75" x14ac:dyDescent="0.25">
      <c r="B40" s="65"/>
      <c r="C40" s="75" t="str">
        <f>IF((SUM(I34:I38)/C30)&lt;&gt;1,R45,R46)</f>
        <v>Correct insert heights</v>
      </c>
      <c r="D40" s="132">
        <f>IF(C40=R46,1,0)</f>
        <v>1</v>
      </c>
      <c r="E40" s="132"/>
      <c r="F40" s="132"/>
      <c r="G40" s="132"/>
      <c r="H40" s="67"/>
      <c r="I40" s="17"/>
      <c r="J40" s="317" t="s">
        <v>125</v>
      </c>
      <c r="K40" s="318"/>
      <c r="L40" s="319"/>
      <c r="M40" s="145" t="s">
        <v>130</v>
      </c>
      <c r="N40" s="117">
        <f>IF(C15=R41,ROUNDUP(L10*M10/1000,0),0)</f>
        <v>0</v>
      </c>
      <c r="O40" s="23"/>
      <c r="P40" s="16"/>
      <c r="R40" s="186" t="s">
        <v>153</v>
      </c>
    </row>
    <row r="41" spans="2:25" ht="18.75" x14ac:dyDescent="0.25">
      <c r="B41" s="65"/>
      <c r="C41" s="66"/>
      <c r="D41" s="66"/>
      <c r="E41" s="66"/>
      <c r="F41" s="66"/>
      <c r="G41" s="66"/>
      <c r="H41" s="67"/>
      <c r="I41" s="17"/>
      <c r="J41" s="317" t="s">
        <v>126</v>
      </c>
      <c r="K41" s="318"/>
      <c r="L41" s="319"/>
      <c r="M41" s="145" t="s">
        <v>131</v>
      </c>
      <c r="N41" s="117">
        <f>IF(C15=R40,ROUNDUP(L10*M10/1000,0),0)</f>
        <v>11</v>
      </c>
      <c r="O41" s="23"/>
      <c r="P41" s="16"/>
      <c r="R41" s="185" t="s">
        <v>125</v>
      </c>
    </row>
    <row r="42" spans="2:25" ht="18.75" x14ac:dyDescent="0.25">
      <c r="B42" s="65"/>
      <c r="C42" s="77"/>
      <c r="D42" s="77"/>
      <c r="E42" s="78"/>
      <c r="F42" s="78"/>
      <c r="G42" s="78"/>
      <c r="H42" s="67"/>
      <c r="I42" s="17"/>
      <c r="J42" s="322" t="s">
        <v>127</v>
      </c>
      <c r="K42" s="323"/>
      <c r="L42" s="323"/>
      <c r="M42" s="175" t="s">
        <v>132</v>
      </c>
      <c r="N42" s="179">
        <f>IF(N41&gt;0,M10*2,0)</f>
        <v>8</v>
      </c>
      <c r="O42" s="23"/>
      <c r="P42" s="16"/>
      <c r="R42" s="17"/>
    </row>
    <row r="43" spans="2:25" ht="18.75" x14ac:dyDescent="0.25">
      <c r="B43" s="65"/>
      <c r="C43" s="66"/>
      <c r="D43" s="66"/>
      <c r="E43" s="66"/>
      <c r="F43" s="66"/>
      <c r="G43" s="66"/>
      <c r="H43" s="67"/>
      <c r="I43" s="17"/>
      <c r="J43" s="317" t="s">
        <v>79</v>
      </c>
      <c r="K43" s="318"/>
      <c r="L43" s="319"/>
      <c r="M43" s="128" t="s">
        <v>43</v>
      </c>
      <c r="N43" s="179">
        <f>C18</f>
        <v>0</v>
      </c>
      <c r="O43" s="23"/>
      <c r="P43" s="16"/>
    </row>
    <row r="44" spans="2:25" ht="18.75" x14ac:dyDescent="0.25">
      <c r="B44" s="65"/>
      <c r="C44" s="78" t="str">
        <f>IF(AND(SUM(I34:I38)/C30=1,E38=0,C30&lt;&gt;1),R49,R50)</f>
        <v xml:space="preserve"> </v>
      </c>
      <c r="D44" s="78"/>
      <c r="E44" s="78"/>
      <c r="F44" s="78"/>
      <c r="G44" s="78"/>
      <c r="H44" s="67"/>
      <c r="I44" s="17"/>
      <c r="J44" s="317" t="s">
        <v>80</v>
      </c>
      <c r="K44" s="318"/>
      <c r="L44" s="319"/>
      <c r="M44" s="128" t="s">
        <v>45</v>
      </c>
      <c r="N44" s="179">
        <f>IF(OR(D19="невозможно установить",C19="нет"),0,
IF(OR(C9=R9,C9=R11,C9=R15),1,0))</f>
        <v>1</v>
      </c>
      <c r="O44" s="23"/>
      <c r="P44" s="16"/>
    </row>
    <row r="45" spans="2:25" ht="18.75" x14ac:dyDescent="0.25">
      <c r="B45" s="65"/>
      <c r="C45" s="66"/>
      <c r="D45" s="66"/>
      <c r="E45" s="66"/>
      <c r="F45" s="66"/>
      <c r="G45" s="66"/>
      <c r="H45" s="67"/>
      <c r="I45" s="17"/>
      <c r="J45" s="317" t="s">
        <v>81</v>
      </c>
      <c r="K45" s="318"/>
      <c r="L45" s="319"/>
      <c r="M45" s="128" t="s">
        <v>44</v>
      </c>
      <c r="N45" s="179">
        <f>IF(C20=R26,0,
IF(C9=R10,1,
IF(C9=R14,2,
IF(AND(OR(C9=R12,C9=R13),C13=R25),1,
IF(AND(C9=R13,C13=R26),C11-1,0)))))</f>
        <v>0</v>
      </c>
      <c r="O45" s="23"/>
      <c r="P45" s="16"/>
      <c r="R45" s="187" t="s">
        <v>154</v>
      </c>
      <c r="V45" s="11" t="s">
        <v>0</v>
      </c>
    </row>
    <row r="46" spans="2:25" ht="18.75" x14ac:dyDescent="0.25">
      <c r="B46" s="65"/>
      <c r="C46" s="66"/>
      <c r="D46" s="66"/>
      <c r="E46" s="66"/>
      <c r="F46" s="66"/>
      <c r="G46" s="66"/>
      <c r="H46" s="67"/>
      <c r="I46" s="17"/>
      <c r="J46" s="317" t="s">
        <v>133</v>
      </c>
      <c r="K46" s="318"/>
      <c r="L46" s="319"/>
      <c r="M46" s="128" t="s">
        <v>52</v>
      </c>
      <c r="N46" s="179">
        <f>IF(AND(N28&gt;0,C13=R25),1,0)</f>
        <v>0</v>
      </c>
      <c r="O46" s="23"/>
      <c r="P46" s="16"/>
      <c r="R46" s="187" t="s">
        <v>155</v>
      </c>
    </row>
    <row r="47" spans="2:25" ht="18.75" x14ac:dyDescent="0.3">
      <c r="B47" s="79"/>
      <c r="C47" s="80"/>
      <c r="D47" s="132"/>
      <c r="E47" s="132"/>
      <c r="F47" s="132"/>
      <c r="G47" s="132"/>
      <c r="H47" s="67"/>
      <c r="I47" s="17"/>
      <c r="J47" s="22"/>
      <c r="K47" s="17"/>
      <c r="L47" s="314"/>
      <c r="M47" s="314"/>
      <c r="N47" s="314"/>
      <c r="O47" s="23"/>
      <c r="P47" s="16"/>
    </row>
    <row r="48" spans="2:25" ht="18.75" x14ac:dyDescent="0.25">
      <c r="B48" s="22"/>
      <c r="C48" s="17"/>
      <c r="D48" s="17"/>
      <c r="E48" s="17"/>
      <c r="F48" s="17"/>
      <c r="G48" s="17"/>
      <c r="H48" s="23"/>
      <c r="I48" s="17"/>
      <c r="J48" s="22"/>
      <c r="K48" s="17"/>
      <c r="L48" s="17"/>
      <c r="M48" s="17"/>
      <c r="N48" s="17"/>
      <c r="O48" s="23"/>
      <c r="P48" s="81"/>
      <c r="Y48" s="11" t="s">
        <v>0</v>
      </c>
    </row>
    <row r="49" spans="2:20" ht="18.75" x14ac:dyDescent="0.3">
      <c r="B49" s="79"/>
      <c r="C49" s="80"/>
      <c r="D49" s="132"/>
      <c r="E49" s="132"/>
      <c r="F49" s="132"/>
      <c r="G49" s="132"/>
      <c r="H49" s="63"/>
      <c r="I49" s="17"/>
      <c r="J49" s="22"/>
      <c r="K49" s="17"/>
      <c r="L49" s="17"/>
      <c r="M49" s="17"/>
      <c r="N49" s="17"/>
      <c r="O49" s="23"/>
      <c r="P49" s="82"/>
      <c r="R49" s="188" t="s">
        <v>156</v>
      </c>
    </row>
    <row r="50" spans="2:20" ht="18.75" x14ac:dyDescent="0.3">
      <c r="B50" s="79"/>
      <c r="C50" s="80"/>
      <c r="D50" s="132"/>
      <c r="E50" s="132"/>
      <c r="F50" s="132"/>
      <c r="G50" s="132"/>
      <c r="H50" s="63"/>
      <c r="I50" s="17"/>
      <c r="J50" s="22"/>
      <c r="K50" s="17" t="s">
        <v>0</v>
      </c>
      <c r="L50" s="17"/>
      <c r="M50" s="17"/>
      <c r="N50" s="17"/>
      <c r="O50" s="23"/>
      <c r="P50" s="11"/>
      <c r="R50" s="11" t="s">
        <v>0</v>
      </c>
    </row>
    <row r="51" spans="2:20" ht="18.75" x14ac:dyDescent="0.3">
      <c r="B51" s="79"/>
      <c r="C51" s="80"/>
      <c r="D51" s="132"/>
      <c r="E51" s="132"/>
      <c r="F51" s="132"/>
      <c r="G51" s="132"/>
      <c r="H51" s="63"/>
      <c r="I51" s="17"/>
      <c r="J51" s="22"/>
      <c r="K51" s="17"/>
      <c r="L51" s="17"/>
      <c r="M51" s="17"/>
      <c r="N51" s="17"/>
      <c r="O51" s="23"/>
      <c r="R51" s="17"/>
    </row>
    <row r="52" spans="2:20" ht="19.5" thickBot="1" x14ac:dyDescent="0.35">
      <c r="B52" s="84"/>
      <c r="C52" s="85"/>
      <c r="D52" s="86"/>
      <c r="E52" s="86"/>
      <c r="F52" s="86"/>
      <c r="G52" s="86"/>
      <c r="H52" s="87"/>
      <c r="I52" s="143"/>
      <c r="J52" s="27"/>
      <c r="K52" s="311"/>
      <c r="L52" s="311"/>
      <c r="M52" s="311"/>
      <c r="N52" s="311"/>
      <c r="O52" s="144"/>
      <c r="R52" s="43" t="s">
        <v>47</v>
      </c>
    </row>
    <row r="53" spans="2:20" x14ac:dyDescent="0.25">
      <c r="R53" s="43" t="s">
        <v>53</v>
      </c>
    </row>
    <row r="54" spans="2:20" x14ac:dyDescent="0.25">
      <c r="R54" s="43" t="s">
        <v>54</v>
      </c>
    </row>
    <row r="55" spans="2:20" x14ac:dyDescent="0.25">
      <c r="R55" s="43" t="s">
        <v>55</v>
      </c>
    </row>
    <row r="56" spans="2:20" x14ac:dyDescent="0.25">
      <c r="R56" s="43" t="s">
        <v>56</v>
      </c>
    </row>
    <row r="57" spans="2:20" x14ac:dyDescent="0.25">
      <c r="R57" s="43" t="s">
        <v>57</v>
      </c>
    </row>
    <row r="58" spans="2:20" x14ac:dyDescent="0.25">
      <c r="R58" s="43" t="s">
        <v>58</v>
      </c>
    </row>
    <row r="59" spans="2:20" x14ac:dyDescent="0.25">
      <c r="R59" s="43" t="s">
        <v>59</v>
      </c>
    </row>
    <row r="60" spans="2:20" x14ac:dyDescent="0.25">
      <c r="R60" s="17"/>
    </row>
    <row r="61" spans="2:20" ht="15.75" x14ac:dyDescent="0.25">
      <c r="T61" s="176">
        <v>0</v>
      </c>
    </row>
    <row r="62" spans="2:20" ht="15.75" x14ac:dyDescent="0.25">
      <c r="T62" s="181">
        <v>1</v>
      </c>
    </row>
    <row r="63" spans="2:20" ht="15.75" x14ac:dyDescent="0.25">
      <c r="T63" s="176">
        <v>2</v>
      </c>
    </row>
    <row r="64" spans="2:20" ht="15.75" x14ac:dyDescent="0.25">
      <c r="T64" s="176">
        <v>3</v>
      </c>
    </row>
    <row r="65" spans="18:20" ht="15.75" x14ac:dyDescent="0.25">
      <c r="T65" s="176">
        <v>4</v>
      </c>
    </row>
    <row r="66" spans="18:20" ht="15.75" x14ac:dyDescent="0.25">
      <c r="T66" s="176">
        <v>5</v>
      </c>
    </row>
    <row r="71" spans="18:20" x14ac:dyDescent="0.25">
      <c r="R71" s="11" t="s">
        <v>164</v>
      </c>
    </row>
    <row r="72" spans="18:20" x14ac:dyDescent="0.25">
      <c r="R72" s="183" t="s">
        <v>144</v>
      </c>
    </row>
  </sheetData>
  <sheetProtection algorithmName="SHA-512" hashValue="WVpuHCAOoM2/BOjD8IKpVPoM8YrqCI2NeP05L5CYGvzn1FYHfT5i4lVZ/iFxr0KOqXSIf2Z4NvEw7T/Zayn7kw==" saltValue="XE4nwpu4LkNwKy+4hU5m+Q==" spinCount="100000" sheet="1" selectLockedCells="1"/>
  <mergeCells count="58">
    <mergeCell ref="J41:L41"/>
    <mergeCell ref="J30:L30"/>
    <mergeCell ref="J34:L34"/>
    <mergeCell ref="B24:H26"/>
    <mergeCell ref="E39:G39"/>
    <mergeCell ref="J28:L28"/>
    <mergeCell ref="J31:L31"/>
    <mergeCell ref="J24:L24"/>
    <mergeCell ref="J29:L29"/>
    <mergeCell ref="J38:L38"/>
    <mergeCell ref="J35:L35"/>
    <mergeCell ref="J36:L36"/>
    <mergeCell ref="D8:H8"/>
    <mergeCell ref="J8:M8"/>
    <mergeCell ref="B2:H2"/>
    <mergeCell ref="B3:C3"/>
    <mergeCell ref="J3:K3"/>
    <mergeCell ref="D4:H4"/>
    <mergeCell ref="J7:M7"/>
    <mergeCell ref="J2:O2"/>
    <mergeCell ref="D7:H7"/>
    <mergeCell ref="D12:H12"/>
    <mergeCell ref="B23:H23"/>
    <mergeCell ref="J21:L21"/>
    <mergeCell ref="D11:H11"/>
    <mergeCell ref="D18:H18"/>
    <mergeCell ref="K52:N52"/>
    <mergeCell ref="N12:N13"/>
    <mergeCell ref="L47:N47"/>
    <mergeCell ref="J32:L32"/>
    <mergeCell ref="J27:L27"/>
    <mergeCell ref="J37:L37"/>
    <mergeCell ref="J44:L44"/>
    <mergeCell ref="J33:L33"/>
    <mergeCell ref="J22:L22"/>
    <mergeCell ref="J23:L23"/>
    <mergeCell ref="J46:L46"/>
    <mergeCell ref="J42:L42"/>
    <mergeCell ref="J40:L40"/>
    <mergeCell ref="J39:L39"/>
    <mergeCell ref="J45:L45"/>
    <mergeCell ref="J43:L43"/>
    <mergeCell ref="O12:O13"/>
    <mergeCell ref="J25:L25"/>
    <mergeCell ref="J26:L26"/>
    <mergeCell ref="B1:O1"/>
    <mergeCell ref="D20:H20"/>
    <mergeCell ref="D13:H13"/>
    <mergeCell ref="D16:H16"/>
    <mergeCell ref="D19:H19"/>
    <mergeCell ref="D10:H10"/>
    <mergeCell ref="D15:H15"/>
    <mergeCell ref="D17:H17"/>
    <mergeCell ref="J17:O17"/>
    <mergeCell ref="D14:H14"/>
    <mergeCell ref="D5:H5"/>
    <mergeCell ref="D6:H6"/>
    <mergeCell ref="D9:H9"/>
  </mergeCells>
  <conditionalFormatting sqref="K5:K6 N41 N27:N28 N30:N38 L10:O10 M13:M16 N12:O12 N23:N25 O14:O16 L11:M11 O11">
    <cfRule type="expression" dxfId="129" priority="88">
      <formula>$C$5=0</formula>
    </cfRule>
  </conditionalFormatting>
  <conditionalFormatting sqref="C5:C7 C12:C16">
    <cfRule type="cellIs" dxfId="128" priority="75" operator="greaterThan">
      <formula>0</formula>
    </cfRule>
  </conditionalFormatting>
  <conditionalFormatting sqref="C9">
    <cfRule type="cellIs" dxfId="127" priority="71" operator="greaterThan">
      <formula>0</formula>
    </cfRule>
  </conditionalFormatting>
  <conditionalFormatting sqref="D5:H6">
    <cfRule type="expression" dxfId="126" priority="14">
      <formula>$C5=0</formula>
    </cfRule>
  </conditionalFormatting>
  <conditionalFormatting sqref="N29">
    <cfRule type="expression" dxfId="125" priority="49">
      <formula>$C$5=0</formula>
    </cfRule>
  </conditionalFormatting>
  <conditionalFormatting sqref="C17:C20">
    <cfRule type="cellIs" dxfId="124" priority="45" operator="greaterThan">
      <formula>0</formula>
    </cfRule>
  </conditionalFormatting>
  <conditionalFormatting sqref="N40">
    <cfRule type="expression" dxfId="123" priority="27">
      <formula>$C$5=0</formula>
    </cfRule>
  </conditionalFormatting>
  <conditionalFormatting sqref="N42">
    <cfRule type="expression" dxfId="122" priority="26">
      <formula>$C$5=0</formula>
    </cfRule>
  </conditionalFormatting>
  <conditionalFormatting sqref="N43">
    <cfRule type="expression" dxfId="121" priority="25">
      <formula>$C$5=0</formula>
    </cfRule>
  </conditionalFormatting>
  <conditionalFormatting sqref="N44">
    <cfRule type="expression" dxfId="120" priority="24">
      <formula>$C$5=0</formula>
    </cfRule>
  </conditionalFormatting>
  <conditionalFormatting sqref="N45">
    <cfRule type="expression" dxfId="119" priority="23">
      <formula>$C$5=0</formula>
    </cfRule>
  </conditionalFormatting>
  <conditionalFormatting sqref="D5:H7 D9:H20">
    <cfRule type="expression" dxfId="118" priority="10">
      <formula>$C$6=0</formula>
    </cfRule>
  </conditionalFormatting>
  <conditionalFormatting sqref="D20:H20">
    <cfRule type="expression" dxfId="117" priority="21">
      <formula>$D$20="невозможно установить"</formula>
    </cfRule>
  </conditionalFormatting>
  <conditionalFormatting sqref="K5">
    <cfRule type="expression" dxfId="116" priority="13">
      <formula>AND(OR($K$5&lt;600,$K$5&gt;1200),$C$5&gt;0)</formula>
    </cfRule>
  </conditionalFormatting>
  <conditionalFormatting sqref="N26 N39">
    <cfRule type="expression" dxfId="115" priority="12">
      <formula>$C$5=0</formula>
    </cfRule>
  </conditionalFormatting>
  <conditionalFormatting sqref="H39 E34 O52 F34:H38">
    <cfRule type="expression" dxfId="114" priority="11">
      <formula>$C$5=0</formula>
    </cfRule>
  </conditionalFormatting>
  <conditionalFormatting sqref="K6">
    <cfRule type="expression" dxfId="113" priority="9">
      <formula>$K$6&gt;3200</formula>
    </cfRule>
  </conditionalFormatting>
  <conditionalFormatting sqref="C8">
    <cfRule type="cellIs" dxfId="112" priority="7" operator="greaterThan">
      <formula>0</formula>
    </cfRule>
  </conditionalFormatting>
  <conditionalFormatting sqref="D8:H8">
    <cfRule type="expression" dxfId="111" priority="6">
      <formula>$C$6=0</formula>
    </cfRule>
  </conditionalFormatting>
  <conditionalFormatting sqref="N46">
    <cfRule type="expression" dxfId="110" priority="4">
      <formula>$C$5=0</formula>
    </cfRule>
  </conditionalFormatting>
  <conditionalFormatting sqref="C40">
    <cfRule type="expression" dxfId="109" priority="224">
      <formula>$C$40=$R$45</formula>
    </cfRule>
    <cfRule type="expression" dxfId="108" priority="225">
      <formula>$C$40=$R$46</formula>
    </cfRule>
  </conditionalFormatting>
  <conditionalFormatting sqref="D30:G30">
    <cfRule type="expression" dxfId="107" priority="226">
      <formula>$D$30=#REF!</formula>
    </cfRule>
  </conditionalFormatting>
  <conditionalFormatting sqref="C44">
    <cfRule type="expression" dxfId="106" priority="227">
      <formula>$C$44=$R$49</formula>
    </cfRule>
  </conditionalFormatting>
  <conditionalFormatting sqref="D19">
    <cfRule type="expression" dxfId="105" priority="232">
      <formula>$C$19=$R$26</formula>
    </cfRule>
    <cfRule type="expression" dxfId="104" priority="233">
      <formula>$D$19="невозможно установить"</formula>
    </cfRule>
  </conditionalFormatting>
  <conditionalFormatting sqref="D20">
    <cfRule type="expression" dxfId="103" priority="234">
      <formula>$C$20=$R$26</formula>
    </cfRule>
  </conditionalFormatting>
  <conditionalFormatting sqref="D17:H17">
    <cfRule type="expression" dxfId="102" priority="235">
      <formula>$C$17="нет"</formula>
    </cfRule>
    <cfRule type="expression" dxfId="101" priority="236">
      <formula>$D$17=$R$71</formula>
    </cfRule>
  </conditionalFormatting>
  <conditionalFormatting sqref="D6">
    <cfRule type="expression" dxfId="100" priority="237">
      <formula>$D$6=$R$18</formula>
    </cfRule>
  </conditionalFormatting>
  <conditionalFormatting sqref="D5:H5">
    <cfRule type="expression" dxfId="99" priority="238">
      <formula>$D$5=$AA$15</formula>
    </cfRule>
  </conditionalFormatting>
  <conditionalFormatting sqref="L12:L16">
    <cfRule type="expression" dxfId="98" priority="3">
      <formula>$C$5=0</formula>
    </cfRule>
  </conditionalFormatting>
  <conditionalFormatting sqref="N14:N16">
    <cfRule type="expression" dxfId="97" priority="2">
      <formula>$C$5=0</formula>
    </cfRule>
  </conditionalFormatting>
  <conditionalFormatting sqref="N11">
    <cfRule type="expression" dxfId="96" priority="1">
      <formula>$C$5=0</formula>
    </cfRule>
  </conditionalFormatting>
  <conditionalFormatting sqref="C10">
    <cfRule type="expression" dxfId="95" priority="256">
      <formula>OR($C$9=$R$12,$C$9=$R$13)</formula>
    </cfRule>
  </conditionalFormatting>
  <conditionalFormatting sqref="C11">
    <cfRule type="expression" dxfId="94" priority="257">
      <formula>AND($C$9=$R$13,$C$11&lt;3)</formula>
    </cfRule>
    <cfRule type="expression" dxfId="93" priority="258">
      <formula>OR($C$9=$R$8,$C$9=$R$9,$C$9=$R$10,$C$9=$R$11,$C$9=$R$14,$C$9=$R$15)</formula>
    </cfRule>
    <cfRule type="cellIs" dxfId="92" priority="259" operator="greaterThan">
      <formula>0</formula>
    </cfRule>
  </conditionalFormatting>
  <dataValidations count="9">
    <dataValidation type="list" allowBlank="1" showInputMessage="1" showErrorMessage="1" sqref="C13:C14 C16:C17 C19:C20" xr:uid="{00000000-0002-0000-0100-000000000000}">
      <formula1>$R$25:$R$26</formula1>
    </dataValidation>
    <dataValidation type="list" allowBlank="1" showInputMessage="1" showErrorMessage="1" sqref="C12" xr:uid="{00000000-0002-0000-0100-000001000000}">
      <formula1>$R$21:$R$22</formula1>
    </dataValidation>
    <dataValidation type="list" allowBlank="1" showInputMessage="1" showErrorMessage="1" sqref="C34:C38" xr:uid="{00000000-0002-0000-0100-000002000000}">
      <formula1>$R$29:$R$31</formula1>
    </dataValidation>
    <dataValidation type="list" allowBlank="1" showInputMessage="1" showErrorMessage="1" sqref="C9" xr:uid="{00000000-0002-0000-0100-000003000000}">
      <formula1>$R$8:$R$15</formula1>
    </dataValidation>
    <dataValidation type="list" allowBlank="1" showInputMessage="1" showErrorMessage="1" sqref="C15" xr:uid="{00000000-0002-0000-0100-000004000000}">
      <formula1>$R$38:$R$41</formula1>
    </dataValidation>
    <dataValidation type="whole" allowBlank="1" showInputMessage="1" showErrorMessage="1" sqref="C18" xr:uid="{00000000-0002-0000-0100-000005000000}">
      <formula1>0</formula1>
      <formula2>20</formula2>
    </dataValidation>
    <dataValidation type="list" allowBlank="1" showInputMessage="1" showErrorMessage="1" sqref="C7" xr:uid="{00000000-0002-0000-0100-000006000000}">
      <formula1>$T$61:$T$65</formula1>
    </dataValidation>
    <dataValidation type="list" allowBlank="1" showInputMessage="1" showErrorMessage="1" sqref="C8" xr:uid="{00000000-0002-0000-0100-000007000000}">
      <formula1>$Z$4:$Z$5</formula1>
    </dataValidation>
    <dataValidation type="list" allowBlank="1" showInputMessage="1" showErrorMessage="1" sqref="C11" xr:uid="{00000000-0002-0000-0100-000008000000}">
      <formula1>IF($C$9=$R$13,$T$64:$T$66,$T$63:$T$66)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2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2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D40:G40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theme="1"/>
    <pageSetUpPr fitToPage="1"/>
  </sheetPr>
  <dimension ref="B1:V73"/>
  <sheetViews>
    <sheetView zoomScale="55" zoomScaleNormal="55" zoomScalePageLayoutView="110" workbookViewId="0">
      <selection activeCell="C5" sqref="C5"/>
    </sheetView>
  </sheetViews>
  <sheetFormatPr defaultColWidth="8.85546875" defaultRowHeight="15" x14ac:dyDescent="0.25"/>
  <cols>
    <col min="1" max="1" width="1" style="11" customWidth="1"/>
    <col min="2" max="2" width="43.5703125" style="11" customWidth="1"/>
    <col min="3" max="3" width="32" style="11" customWidth="1"/>
    <col min="4" max="4" width="18.42578125" style="11" customWidth="1"/>
    <col min="5" max="8" width="14.7109375" style="11" customWidth="1"/>
    <col min="9" max="9" width="1.85546875" style="11" customWidth="1"/>
    <col min="10" max="10" width="30.42578125" style="11" customWidth="1"/>
    <col min="11" max="11" width="15.85546875" style="11" customWidth="1"/>
    <col min="12" max="12" width="12.85546875" style="11" customWidth="1"/>
    <col min="13" max="13" width="17.28515625" style="11" customWidth="1"/>
    <col min="14" max="14" width="13.7109375" style="11" customWidth="1"/>
    <col min="15" max="15" width="16.7109375" style="11" customWidth="1"/>
    <col min="16" max="16" width="25.28515625" style="11" hidden="1" customWidth="1"/>
    <col min="17" max="17" width="23" style="11" hidden="1" customWidth="1"/>
    <col min="18" max="18" width="16.7109375" style="11" hidden="1" customWidth="1"/>
    <col min="19" max="19" width="27.28515625" style="11" hidden="1" customWidth="1"/>
    <col min="20" max="20" width="24.28515625" style="11" hidden="1" customWidth="1"/>
    <col min="21" max="21" width="24" style="11" hidden="1" customWidth="1"/>
    <col min="22" max="22" width="8.85546875" style="11" customWidth="1"/>
    <col min="23" max="16384" width="8.85546875" style="11"/>
  </cols>
  <sheetData>
    <row r="1" spans="2:21" ht="19.5" thickBot="1" x14ac:dyDescent="0.3">
      <c r="B1" s="361" t="s">
        <v>172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3"/>
    </row>
    <row r="2" spans="2:21" s="12" customFormat="1" ht="21" x14ac:dyDescent="0.25">
      <c r="B2" s="358" t="s">
        <v>61</v>
      </c>
      <c r="C2" s="359"/>
      <c r="D2" s="359"/>
      <c r="E2" s="359"/>
      <c r="F2" s="359"/>
      <c r="G2" s="359"/>
      <c r="H2" s="360"/>
      <c r="I2" s="105"/>
      <c r="J2" s="358" t="s">
        <v>62</v>
      </c>
      <c r="K2" s="359"/>
      <c r="L2" s="359"/>
      <c r="M2" s="359"/>
      <c r="N2" s="359"/>
      <c r="O2" s="360"/>
      <c r="P2" s="45"/>
      <c r="Q2" s="45"/>
      <c r="R2" s="11"/>
      <c r="S2" s="11" t="s">
        <v>221</v>
      </c>
      <c r="T2" s="11" t="s">
        <v>49</v>
      </c>
      <c r="U2" s="11">
        <f>IF(C8=S2,9,8)</f>
        <v>9</v>
      </c>
    </row>
    <row r="3" spans="2:21" s="15" customFormat="1" ht="15.75" x14ac:dyDescent="0.25">
      <c r="B3" s="364" t="s">
        <v>170</v>
      </c>
      <c r="C3" s="365"/>
      <c r="D3" s="13"/>
      <c r="E3" s="13"/>
      <c r="F3" s="13"/>
      <c r="G3" s="13"/>
      <c r="H3" s="14"/>
      <c r="I3" s="141"/>
      <c r="J3" s="364" t="s">
        <v>171</v>
      </c>
      <c r="K3" s="365"/>
      <c r="L3" s="13"/>
      <c r="M3" s="13"/>
      <c r="N3" s="13"/>
      <c r="O3" s="14"/>
      <c r="R3" s="11"/>
      <c r="S3" s="11" t="s">
        <v>158</v>
      </c>
      <c r="T3" s="11" t="s">
        <v>4</v>
      </c>
      <c r="U3" s="11"/>
    </row>
    <row r="4" spans="2:21" ht="18.75" x14ac:dyDescent="0.25">
      <c r="B4" s="161" t="s">
        <v>82</v>
      </c>
      <c r="C4" s="163" t="s">
        <v>83</v>
      </c>
      <c r="D4" s="334" t="s">
        <v>84</v>
      </c>
      <c r="E4" s="335"/>
      <c r="F4" s="335"/>
      <c r="G4" s="335"/>
      <c r="H4" s="336"/>
      <c r="I4" s="17"/>
      <c r="J4" s="154" t="s">
        <v>63</v>
      </c>
      <c r="K4" s="156" t="s">
        <v>66</v>
      </c>
      <c r="L4" s="16"/>
      <c r="M4" s="16"/>
      <c r="N4" s="16"/>
      <c r="O4" s="21"/>
    </row>
    <row r="5" spans="2:21" ht="18.75" x14ac:dyDescent="0.25">
      <c r="B5" s="157" t="s">
        <v>68</v>
      </c>
      <c r="C5" s="201">
        <v>1000</v>
      </c>
      <c r="D5" s="308" t="str">
        <f>IF(OR(K5&gt;600,K5&lt;300),Q63,Q64)</f>
        <v>permissible</v>
      </c>
      <c r="E5" s="309"/>
      <c r="F5" s="309"/>
      <c r="G5" s="309"/>
      <c r="H5" s="310"/>
      <c r="I5" s="17"/>
      <c r="J5" s="155" t="s">
        <v>173</v>
      </c>
      <c r="K5" s="200">
        <f>ROUNDDOWN(IF(C10=Q10,(C5-10-10-2)/2,
IF(C10=Q11,(C5-10-10-2-2-10)/4,0)),0)</f>
        <v>489</v>
      </c>
      <c r="L5" s="17"/>
      <c r="M5" s="17"/>
      <c r="N5" s="17"/>
      <c r="O5" s="23"/>
    </row>
    <row r="6" spans="2:21" ht="18.75" x14ac:dyDescent="0.25">
      <c r="B6" s="157" t="s">
        <v>69</v>
      </c>
      <c r="C6" s="201">
        <v>2600</v>
      </c>
      <c r="D6" s="308" t="str">
        <f>IF(K6&gt;3200,Q58,Q59)</f>
        <v>permissible</v>
      </c>
      <c r="E6" s="309"/>
      <c r="F6" s="309"/>
      <c r="G6" s="309"/>
      <c r="H6" s="310"/>
      <c r="I6" s="17"/>
      <c r="J6" s="155" t="s">
        <v>174</v>
      </c>
      <c r="K6" s="200">
        <f>IF(C9=Q7,C6-77,C6-55)</f>
        <v>2523</v>
      </c>
      <c r="L6" s="16"/>
      <c r="M6" s="16"/>
      <c r="N6" s="16"/>
      <c r="O6" s="21"/>
      <c r="Q6" s="11" t="s">
        <v>191</v>
      </c>
    </row>
    <row r="7" spans="2:21" ht="18.75" x14ac:dyDescent="0.25">
      <c r="B7" s="157" t="s">
        <v>70</v>
      </c>
      <c r="C7" s="202">
        <v>1</v>
      </c>
      <c r="D7" s="301" t="s">
        <v>169</v>
      </c>
      <c r="E7" s="298"/>
      <c r="F7" s="298"/>
      <c r="G7" s="298"/>
      <c r="H7" s="302"/>
      <c r="I7" s="17"/>
      <c r="J7" s="22"/>
      <c r="K7" s="17"/>
      <c r="L7" s="17"/>
      <c r="M7" s="17"/>
      <c r="N7" s="17"/>
      <c r="O7" s="23"/>
      <c r="Q7" s="11" t="s">
        <v>192</v>
      </c>
    </row>
    <row r="8" spans="2:21" ht="18.75" x14ac:dyDescent="0.25">
      <c r="B8" s="33" t="s">
        <v>71</v>
      </c>
      <c r="C8" s="20" t="s">
        <v>221</v>
      </c>
      <c r="D8" s="301"/>
      <c r="E8" s="298"/>
      <c r="F8" s="298"/>
      <c r="G8" s="298"/>
      <c r="H8" s="302"/>
      <c r="I8" s="17"/>
      <c r="J8" s="364" t="s">
        <v>163</v>
      </c>
      <c r="K8" s="365"/>
      <c r="L8" s="365"/>
      <c r="M8" s="365"/>
      <c r="N8" s="130"/>
      <c r="O8" s="46"/>
      <c r="S8" s="19"/>
    </row>
    <row r="9" spans="2:21" ht="35.1" customHeight="1" x14ac:dyDescent="0.25">
      <c r="B9" s="158" t="s">
        <v>72</v>
      </c>
      <c r="C9" s="26" t="s">
        <v>192</v>
      </c>
      <c r="D9" s="296"/>
      <c r="E9" s="324"/>
      <c r="F9" s="324"/>
      <c r="G9" s="324"/>
      <c r="H9" s="297"/>
      <c r="I9" s="17"/>
      <c r="J9" s="213" t="s">
        <v>159</v>
      </c>
      <c r="K9" s="214" t="s">
        <v>108</v>
      </c>
      <c r="L9" s="215" t="s">
        <v>160</v>
      </c>
      <c r="M9" s="215" t="s">
        <v>94</v>
      </c>
      <c r="N9" s="216" t="s">
        <v>161</v>
      </c>
      <c r="O9" s="217" t="s">
        <v>162</v>
      </c>
    </row>
    <row r="10" spans="2:21" ht="18.75" x14ac:dyDescent="0.25">
      <c r="B10" s="159" t="s">
        <v>73</v>
      </c>
      <c r="C10" s="202">
        <v>1</v>
      </c>
      <c r="D10" s="350" t="s">
        <v>188</v>
      </c>
      <c r="E10" s="351"/>
      <c r="F10" s="351"/>
      <c r="G10" s="351"/>
      <c r="H10" s="352"/>
      <c r="I10" s="17"/>
      <c r="J10" s="40" t="s">
        <v>102</v>
      </c>
      <c r="K10" s="131" t="s">
        <v>1</v>
      </c>
      <c r="L10" s="218">
        <f>K6</f>
        <v>2523</v>
      </c>
      <c r="M10" s="220">
        <f>IF(AND(C6&gt;0,C10=Q10),4,IF(AND(C6&gt;0,C10=Q11),8,0))</f>
        <v>4</v>
      </c>
      <c r="N10" s="134"/>
      <c r="O10" s="221">
        <f>IF(L10&gt;2650,M10,M10/2)</f>
        <v>2</v>
      </c>
      <c r="Q10" s="235">
        <v>1</v>
      </c>
    </row>
    <row r="11" spans="2:21" ht="18.75" x14ac:dyDescent="0.25">
      <c r="B11" s="35" t="s">
        <v>186</v>
      </c>
      <c r="C11" s="36" t="s">
        <v>193</v>
      </c>
      <c r="D11" s="353" t="s">
        <v>189</v>
      </c>
      <c r="E11" s="354"/>
      <c r="F11" s="354"/>
      <c r="G11" s="354"/>
      <c r="H11" s="355"/>
      <c r="I11" s="17"/>
      <c r="J11" s="40" t="s">
        <v>103</v>
      </c>
      <c r="K11" s="126" t="s">
        <v>5</v>
      </c>
      <c r="L11" s="218">
        <f>C5-2</f>
        <v>998</v>
      </c>
      <c r="M11" s="220">
        <f>IF(C5=0,0,1)</f>
        <v>1</v>
      </c>
      <c r="N11" s="219">
        <f>L11*M11</f>
        <v>998</v>
      </c>
      <c r="O11" s="221">
        <f>CEILING((L11*M11)/5000,1)</f>
        <v>1</v>
      </c>
      <c r="Q11" s="236">
        <v>2</v>
      </c>
    </row>
    <row r="12" spans="2:21" ht="19.149999999999999" customHeight="1" x14ac:dyDescent="0.25">
      <c r="B12" s="233" t="s">
        <v>78</v>
      </c>
      <c r="C12" s="25" t="s">
        <v>153</v>
      </c>
      <c r="D12" s="306"/>
      <c r="E12" s="301"/>
      <c r="F12" s="301"/>
      <c r="G12" s="301"/>
      <c r="H12" s="302"/>
      <c r="I12" s="17"/>
      <c r="J12" s="40" t="s">
        <v>175</v>
      </c>
      <c r="K12" s="126" t="s">
        <v>32</v>
      </c>
      <c r="L12" s="218">
        <f>IF(C9=Q6,L11,0)</f>
        <v>0</v>
      </c>
      <c r="M12" s="220">
        <f>IF(C9=Q6,1,0)</f>
        <v>0</v>
      </c>
      <c r="N12" s="219">
        <f t="shared" ref="N12:N17" si="0">L12*M12</f>
        <v>0</v>
      </c>
      <c r="O12" s="221">
        <f>CEILING((L12*M12)/5400,1)</f>
        <v>0</v>
      </c>
    </row>
    <row r="13" spans="2:21" ht="19.149999999999999" customHeight="1" thickBot="1" x14ac:dyDescent="0.3">
      <c r="B13" s="234" t="s">
        <v>187</v>
      </c>
      <c r="C13" s="232">
        <v>540</v>
      </c>
      <c r="D13" s="356" t="s">
        <v>190</v>
      </c>
      <c r="E13" s="356"/>
      <c r="F13" s="356"/>
      <c r="G13" s="356"/>
      <c r="H13" s="357"/>
      <c r="I13" s="17"/>
      <c r="J13" s="40" t="s">
        <v>104</v>
      </c>
      <c r="K13" s="131" t="s">
        <v>6</v>
      </c>
      <c r="L13" s="218">
        <f>IF(C9=Q7,L11,0)</f>
        <v>998</v>
      </c>
      <c r="M13" s="220">
        <f>IF(C9=Q7,1,0)</f>
        <v>1</v>
      </c>
      <c r="N13" s="219">
        <f t="shared" si="0"/>
        <v>998</v>
      </c>
      <c r="O13" s="221">
        <f>CEILING((L13*M13)/5000,1)</f>
        <v>1</v>
      </c>
    </row>
    <row r="14" spans="2:21" ht="19.149999999999999" customHeight="1" x14ac:dyDescent="0.25">
      <c r="I14" s="17"/>
      <c r="J14" s="40" t="s">
        <v>105</v>
      </c>
      <c r="K14" s="131" t="s">
        <v>2</v>
      </c>
      <c r="L14" s="218">
        <f>K5-78</f>
        <v>411</v>
      </c>
      <c r="M14" s="220">
        <f>IF(C5=0,0,C10*2)</f>
        <v>2</v>
      </c>
      <c r="N14" s="219">
        <f t="shared" si="0"/>
        <v>822</v>
      </c>
      <c r="O14" s="221">
        <f>CEILING((L14*M14)/5000,1)</f>
        <v>1</v>
      </c>
      <c r="Q14" s="237" t="s">
        <v>149</v>
      </c>
    </row>
    <row r="15" spans="2:21" ht="15.75" x14ac:dyDescent="0.25">
      <c r="B15" s="17"/>
      <c r="C15" s="17"/>
      <c r="D15" s="17"/>
      <c r="E15" s="17"/>
      <c r="F15" s="17"/>
      <c r="G15" s="17"/>
      <c r="H15" s="17"/>
      <c r="I15" s="17"/>
      <c r="J15" s="40" t="s">
        <v>106</v>
      </c>
      <c r="K15" s="131" t="s">
        <v>3</v>
      </c>
      <c r="L15" s="218">
        <f>K5-78</f>
        <v>411</v>
      </c>
      <c r="M15" s="220">
        <f>IF(C5=0,0,C10*2)</f>
        <v>2</v>
      </c>
      <c r="N15" s="219">
        <f t="shared" si="0"/>
        <v>822</v>
      </c>
      <c r="O15" s="221">
        <f>CEILING((L15*M15)/5000,1)</f>
        <v>1</v>
      </c>
      <c r="Q15" s="237" t="s">
        <v>150</v>
      </c>
    </row>
    <row r="16" spans="2:21" ht="15.75" x14ac:dyDescent="0.25">
      <c r="B16" s="17"/>
      <c r="C16" s="17"/>
      <c r="D16" s="17"/>
      <c r="E16" s="17"/>
      <c r="F16" s="17"/>
      <c r="G16" s="17"/>
      <c r="H16" s="17"/>
      <c r="I16" s="17"/>
      <c r="J16" s="122" t="str">
        <f>C8</f>
        <v>Dividing Rail Standard System</v>
      </c>
      <c r="K16" s="131" t="str">
        <f>IF(J16=S2,T2,T3)</f>
        <v>AS0640.VP540</v>
      </c>
      <c r="L16" s="218">
        <f>IF(AND(C8=S3,C7&gt;0),K5-78,IF(AND(C8=S2,C7&gt;0),K5-76,0))</f>
        <v>413</v>
      </c>
      <c r="M16" s="220">
        <f>C7*2*C10</f>
        <v>2</v>
      </c>
      <c r="N16" s="219">
        <f t="shared" si="0"/>
        <v>826</v>
      </c>
      <c r="O16" s="221">
        <f>IF(L16="нет",0,CEILING((L16*M16)/5000,1))</f>
        <v>1</v>
      </c>
      <c r="Q16" s="237" t="s">
        <v>151</v>
      </c>
    </row>
    <row r="17" spans="2:17" ht="15.75" x14ac:dyDescent="0.25">
      <c r="B17" s="325" t="s">
        <v>85</v>
      </c>
      <c r="C17" s="325"/>
      <c r="D17" s="325"/>
      <c r="E17" s="325"/>
      <c r="F17" s="325"/>
      <c r="G17" s="325"/>
      <c r="H17" s="325"/>
      <c r="I17" s="17"/>
      <c r="J17" s="40" t="s">
        <v>176</v>
      </c>
      <c r="K17" s="131" t="s">
        <v>17</v>
      </c>
      <c r="L17" s="218">
        <f>C13</f>
        <v>540</v>
      </c>
      <c r="M17" s="220">
        <f>C10</f>
        <v>1</v>
      </c>
      <c r="N17" s="219">
        <f t="shared" si="0"/>
        <v>540</v>
      </c>
      <c r="O17" s="222">
        <f>CEILING((L17*M17)/5400,1)</f>
        <v>1</v>
      </c>
    </row>
    <row r="18" spans="2:17" ht="15.75" customHeight="1" x14ac:dyDescent="0.25">
      <c r="B18" s="340" t="s">
        <v>86</v>
      </c>
      <c r="C18" s="340"/>
      <c r="D18" s="340"/>
      <c r="E18" s="340"/>
      <c r="F18" s="340"/>
      <c r="G18" s="340"/>
      <c r="H18" s="340"/>
      <c r="I18" s="17"/>
      <c r="J18" s="347"/>
      <c r="K18" s="348"/>
      <c r="L18" s="348"/>
      <c r="M18" s="348"/>
      <c r="N18" s="348"/>
      <c r="O18" s="349"/>
    </row>
    <row r="19" spans="2:17" ht="15" customHeight="1" x14ac:dyDescent="0.25">
      <c r="B19" s="340"/>
      <c r="C19" s="340"/>
      <c r="D19" s="340"/>
      <c r="E19" s="340"/>
      <c r="F19" s="340"/>
      <c r="G19" s="340"/>
      <c r="H19" s="340"/>
      <c r="I19" s="17"/>
      <c r="J19" s="22"/>
      <c r="K19" s="17"/>
      <c r="L19" s="17"/>
      <c r="M19" s="17"/>
      <c r="N19" s="17"/>
      <c r="O19" s="23"/>
      <c r="Q19" s="11" t="s">
        <v>193</v>
      </c>
    </row>
    <row r="20" spans="2:17" ht="14.25" customHeight="1" x14ac:dyDescent="0.25">
      <c r="B20" s="340"/>
      <c r="C20" s="340"/>
      <c r="D20" s="340"/>
      <c r="E20" s="340"/>
      <c r="F20" s="340"/>
      <c r="G20" s="340"/>
      <c r="H20" s="340"/>
      <c r="I20" s="17"/>
      <c r="J20" s="22"/>
      <c r="K20" s="17"/>
      <c r="L20" s="17"/>
      <c r="M20" s="17"/>
      <c r="N20" s="17"/>
      <c r="O20" s="23"/>
      <c r="Q20" s="11" t="s">
        <v>194</v>
      </c>
    </row>
    <row r="21" spans="2:17" ht="17.25" customHeight="1" thickBot="1" x14ac:dyDescent="0.3">
      <c r="B21" s="17"/>
      <c r="C21" s="17"/>
      <c r="D21" s="17"/>
      <c r="E21" s="17"/>
      <c r="F21" s="17"/>
      <c r="G21" s="17"/>
      <c r="H21" s="17"/>
      <c r="I21" s="17"/>
      <c r="J21" s="368" t="s">
        <v>109</v>
      </c>
      <c r="K21" s="369"/>
      <c r="L21" s="369"/>
      <c r="M21" s="148"/>
      <c r="N21" s="17"/>
      <c r="O21" s="23"/>
    </row>
    <row r="22" spans="2:17" ht="19.5" thickBot="1" x14ac:dyDescent="0.3">
      <c r="B22" s="164" t="s">
        <v>87</v>
      </c>
      <c r="C22" s="136"/>
      <c r="D22" s="136"/>
      <c r="E22" s="136"/>
      <c r="F22" s="136"/>
      <c r="G22" s="136"/>
      <c r="H22" s="136"/>
      <c r="I22" s="16"/>
      <c r="J22" s="376" t="s">
        <v>107</v>
      </c>
      <c r="K22" s="377"/>
      <c r="L22" s="378"/>
      <c r="M22" s="172" t="s">
        <v>108</v>
      </c>
      <c r="N22" s="173" t="s">
        <v>94</v>
      </c>
      <c r="O22" s="23"/>
    </row>
    <row r="23" spans="2:17" ht="19.5" thickBot="1" x14ac:dyDescent="0.3">
      <c r="B23" s="58"/>
      <c r="C23" s="59"/>
      <c r="D23" s="59"/>
      <c r="E23" s="59"/>
      <c r="F23" s="59"/>
      <c r="G23" s="59"/>
      <c r="H23" s="60"/>
      <c r="I23" s="16"/>
      <c r="J23" s="315" t="s">
        <v>180</v>
      </c>
      <c r="K23" s="316"/>
      <c r="L23" s="316"/>
      <c r="M23" s="128" t="s">
        <v>26</v>
      </c>
      <c r="N23" s="179">
        <f>C10</f>
        <v>1</v>
      </c>
      <c r="O23" s="23"/>
    </row>
    <row r="24" spans="2:17" ht="19.5" thickBot="1" x14ac:dyDescent="0.35">
      <c r="B24" s="165" t="s">
        <v>88</v>
      </c>
      <c r="C24" s="205">
        <f>C7+1</f>
        <v>2</v>
      </c>
      <c r="D24" s="88"/>
      <c r="E24" s="89"/>
      <c r="F24" s="89"/>
      <c r="G24" s="89"/>
      <c r="H24" s="63"/>
      <c r="I24" s="137"/>
      <c r="J24" s="315" t="s">
        <v>181</v>
      </c>
      <c r="K24" s="316"/>
      <c r="L24" s="316"/>
      <c r="M24" s="128" t="s">
        <v>27</v>
      </c>
      <c r="N24" s="179">
        <f>C10</f>
        <v>1</v>
      </c>
      <c r="O24" s="23"/>
    </row>
    <row r="25" spans="2:17" ht="18.75" x14ac:dyDescent="0.25">
      <c r="B25" s="65"/>
      <c r="C25" s="66"/>
      <c r="D25" s="66"/>
      <c r="E25" s="66"/>
      <c r="F25" s="66"/>
      <c r="G25" s="66"/>
      <c r="H25" s="67"/>
      <c r="I25" s="137"/>
      <c r="J25" s="315" t="s">
        <v>182</v>
      </c>
      <c r="K25" s="316"/>
      <c r="L25" s="316"/>
      <c r="M25" s="128" t="s">
        <v>28</v>
      </c>
      <c r="N25" s="179">
        <f>IF(AND(C10=Q10,C11=Q20),1,IF(C10=Q11,1,0))</f>
        <v>0</v>
      </c>
      <c r="O25" s="23"/>
    </row>
    <row r="26" spans="2:17" ht="18.75" x14ac:dyDescent="0.25">
      <c r="B26" s="65"/>
      <c r="C26" s="66"/>
      <c r="D26" s="66"/>
      <c r="E26" s="66"/>
      <c r="F26" s="66"/>
      <c r="G26" s="66"/>
      <c r="H26" s="67"/>
      <c r="I26" s="137"/>
      <c r="J26" s="315" t="s">
        <v>183</v>
      </c>
      <c r="K26" s="316"/>
      <c r="L26" s="316"/>
      <c r="M26" s="128" t="s">
        <v>29</v>
      </c>
      <c r="N26" s="179">
        <f>IF(AND(C10=Q10,C11=Q19),1,IF(C10=Q11,1,0))</f>
        <v>1</v>
      </c>
      <c r="O26" s="23"/>
    </row>
    <row r="27" spans="2:17" ht="18.75" x14ac:dyDescent="0.25">
      <c r="B27" s="228" t="s">
        <v>89</v>
      </c>
      <c r="C27" s="274" t="s">
        <v>90</v>
      </c>
      <c r="D27" s="229" t="s">
        <v>91</v>
      </c>
      <c r="E27" s="230" t="s">
        <v>92</v>
      </c>
      <c r="F27" s="230" t="s">
        <v>93</v>
      </c>
      <c r="G27" s="230" t="s">
        <v>94</v>
      </c>
      <c r="H27" s="231" t="s">
        <v>95</v>
      </c>
      <c r="I27" s="17"/>
      <c r="J27" s="315" t="s">
        <v>184</v>
      </c>
      <c r="K27" s="316"/>
      <c r="L27" s="316"/>
      <c r="M27" s="128" t="s">
        <v>30</v>
      </c>
      <c r="N27" s="179">
        <f>C10*2</f>
        <v>2</v>
      </c>
      <c r="O27" s="23"/>
    </row>
    <row r="28" spans="2:17" ht="18.75" x14ac:dyDescent="0.25">
      <c r="B28" s="170" t="s">
        <v>96</v>
      </c>
      <c r="C28" s="29" t="s">
        <v>151</v>
      </c>
      <c r="D28" s="223">
        <v>0</v>
      </c>
      <c r="E28" s="195">
        <f>K6-IF(E32=0,0,IF(C32=Q14,E32,IF(C32=Q15,E32+2,E32+3)))-IF(E31=0,0,IF(C31=Q14,E31,IF(C31=Q15,E31+2,E31+3)))-IF(E30=0,0,IF(C30=Q14,E30,IF(C30=Q15,E30+2,E30+3)))-IF(E29=0,0,IF(C29=Q14,E29,IF(C29=Q15,E29+2,E29+3)))-44-IF(C28=Q15,2,IF(C28=Q16,3,0))-C7*U2</f>
        <v>1464</v>
      </c>
      <c r="F28" s="196">
        <f>IF(C28=$Q$16,$K$5-63,IF(C28=$Q$15,$K$5-62,$K$5-60))</f>
        <v>426</v>
      </c>
      <c r="G28" s="198">
        <f>$C$10*2</f>
        <v>2</v>
      </c>
      <c r="H28" s="276">
        <f>E28*F28*D28*G28/1000000</f>
        <v>0</v>
      </c>
      <c r="I28" s="137">
        <f>IF(E28&lt;&gt;0,1,0)</f>
        <v>1</v>
      </c>
      <c r="J28" s="315" t="s">
        <v>185</v>
      </c>
      <c r="K28" s="316"/>
      <c r="L28" s="316"/>
      <c r="M28" s="128" t="s">
        <v>19</v>
      </c>
      <c r="N28" s="225">
        <f>C10</f>
        <v>1</v>
      </c>
      <c r="O28" s="23"/>
    </row>
    <row r="29" spans="2:17" ht="18.75" x14ac:dyDescent="0.25">
      <c r="B29" s="170" t="s">
        <v>97</v>
      </c>
      <c r="C29" s="29" t="s">
        <v>149</v>
      </c>
      <c r="D29" s="223">
        <v>0</v>
      </c>
      <c r="E29" s="197">
        <v>0</v>
      </c>
      <c r="F29" s="196">
        <f>IF(C29=$Q$16,$K$5-63,IF(C29=$Q$15,$K$5-62,$K$5-60))</f>
        <v>429</v>
      </c>
      <c r="G29" s="198">
        <f>IF(E29&lt;&gt;0,$C$10*2,0)</f>
        <v>0</v>
      </c>
      <c r="H29" s="276">
        <f t="shared" ref="H29:H32" si="1">E29*F29*D29*G29/1000000</f>
        <v>0</v>
      </c>
      <c r="I29" s="137">
        <f>IF(E29&lt;&gt;0,1,0)</f>
        <v>0</v>
      </c>
      <c r="J29" s="315" t="s">
        <v>177</v>
      </c>
      <c r="K29" s="316"/>
      <c r="L29" s="316"/>
      <c r="M29" s="128" t="s">
        <v>22</v>
      </c>
      <c r="N29" s="178">
        <f>IF(C13&lt;500,2*C10,C10*ROUNDDOWN(C13/500+1,0))</f>
        <v>2</v>
      </c>
      <c r="O29" s="23"/>
    </row>
    <row r="30" spans="2:17" ht="18.75" x14ac:dyDescent="0.25">
      <c r="B30" s="170" t="s">
        <v>98</v>
      </c>
      <c r="C30" s="29" t="s">
        <v>149</v>
      </c>
      <c r="D30" s="223">
        <v>0</v>
      </c>
      <c r="E30" s="197">
        <v>0</v>
      </c>
      <c r="F30" s="196">
        <f>IF(C30=$Q$16,$K$5-63,IF(C30=$Q$15,$K$5-62,$K$5-60))</f>
        <v>429</v>
      </c>
      <c r="G30" s="198">
        <f>IF(E30&lt;&gt;0,$C$10*2,0)</f>
        <v>0</v>
      </c>
      <c r="H30" s="276">
        <f t="shared" si="1"/>
        <v>0</v>
      </c>
      <c r="I30" s="137">
        <f>IF(E30&lt;&gt;0,1,0)</f>
        <v>0</v>
      </c>
      <c r="J30" s="315" t="s">
        <v>178</v>
      </c>
      <c r="K30" s="316"/>
      <c r="L30" s="316"/>
      <c r="M30" s="128" t="s">
        <v>23</v>
      </c>
      <c r="N30" s="225">
        <f>C10</f>
        <v>1</v>
      </c>
      <c r="O30" s="23"/>
    </row>
    <row r="31" spans="2:17" ht="18.75" x14ac:dyDescent="0.25">
      <c r="B31" s="170" t="s">
        <v>99</v>
      </c>
      <c r="C31" s="29" t="s">
        <v>151</v>
      </c>
      <c r="D31" s="223">
        <v>0</v>
      </c>
      <c r="E31" s="197">
        <v>0</v>
      </c>
      <c r="F31" s="196">
        <f>IF(C31=$Q$16,$K$5-63,IF(C31=$Q$15,$K$5-62,$K$5-60))</f>
        <v>426</v>
      </c>
      <c r="G31" s="198">
        <f>IF(E31&lt;&gt;0,$C$10*2,0)</f>
        <v>0</v>
      </c>
      <c r="H31" s="276">
        <f t="shared" si="1"/>
        <v>0</v>
      </c>
      <c r="I31" s="137">
        <f>IF(E31&lt;&gt;0,1,0)</f>
        <v>0</v>
      </c>
      <c r="J31" s="284" t="s">
        <v>117</v>
      </c>
      <c r="K31" s="285"/>
      <c r="L31" s="286"/>
      <c r="M31" s="128" t="s">
        <v>9</v>
      </c>
      <c r="N31" s="178">
        <f>(M14+M15+M16)*2-N32</f>
        <v>10</v>
      </c>
      <c r="O31" s="23"/>
    </row>
    <row r="32" spans="2:17" ht="19.5" thickBot="1" x14ac:dyDescent="0.3">
      <c r="B32" s="171" t="s">
        <v>100</v>
      </c>
      <c r="C32" s="29" t="s">
        <v>151</v>
      </c>
      <c r="D32" s="223">
        <v>0</v>
      </c>
      <c r="E32" s="197">
        <v>1000</v>
      </c>
      <c r="F32" s="196">
        <f>IF(C32=$Q$16,$K$5-63,IF(C32=$Q$15,$K$5-62,$K$5-60))</f>
        <v>426</v>
      </c>
      <c r="G32" s="198">
        <f>IF(E32&lt;&gt;0,$C$10*2,0)</f>
        <v>2</v>
      </c>
      <c r="H32" s="276">
        <f t="shared" si="1"/>
        <v>0</v>
      </c>
      <c r="I32" s="137">
        <f>IF(E32&lt;&gt;0,1,0)</f>
        <v>1</v>
      </c>
      <c r="J32" s="284" t="s">
        <v>179</v>
      </c>
      <c r="K32" s="285"/>
      <c r="L32" s="286"/>
      <c r="M32" s="128" t="s">
        <v>31</v>
      </c>
      <c r="N32" s="180">
        <f>C10*2</f>
        <v>2</v>
      </c>
      <c r="O32" s="23"/>
    </row>
    <row r="33" spans="2:17" ht="19.5" thickBot="1" x14ac:dyDescent="0.3">
      <c r="B33" s="65"/>
      <c r="C33" s="90"/>
      <c r="D33" s="66"/>
      <c r="E33" s="341" t="s">
        <v>101</v>
      </c>
      <c r="F33" s="341"/>
      <c r="G33" s="342"/>
      <c r="H33" s="277">
        <f>SUM(H28:H32)</f>
        <v>0</v>
      </c>
      <c r="I33" s="16"/>
      <c r="J33" s="343" t="s">
        <v>120</v>
      </c>
      <c r="K33" s="344"/>
      <c r="L33" s="344"/>
      <c r="M33" s="128" t="s">
        <v>10</v>
      </c>
      <c r="N33" s="226">
        <f>ROUNDUP((IF(C28=Q15,(E28+F28)*2*G28,0)+IF(C29=Q15,(E29+F29)*2*G29,0)+IF(C30=Q15,(E30+F30)*2*G30,0)+IF(C31=Q15,(E31+F31)*2*G31,0)+IF(C32=Q15,(E32+F32)*2*G32,0))/1000,0)</f>
        <v>0</v>
      </c>
      <c r="O33" s="23"/>
    </row>
    <row r="34" spans="2:17" ht="18.75" x14ac:dyDescent="0.25">
      <c r="B34" s="65"/>
      <c r="C34" s="374" t="str">
        <f>IF((SUM(I28:I32)/C24)&lt;&gt;1,Q42,Q43)</f>
        <v>Correct insert heights</v>
      </c>
      <c r="D34" s="374"/>
      <c r="E34" s="275">
        <f>IF(C34=Q43,1,0)</f>
        <v>1</v>
      </c>
      <c r="F34" s="275"/>
      <c r="G34" s="275"/>
      <c r="H34" s="67"/>
      <c r="I34" s="16"/>
      <c r="J34" s="345" t="s">
        <v>121</v>
      </c>
      <c r="K34" s="346"/>
      <c r="L34" s="346"/>
      <c r="M34" s="128" t="s">
        <v>11</v>
      </c>
      <c r="N34" s="226">
        <f>ROUNDUP((IF(C28=Q16,(E28+F28)*2*G28,0)+IF(C29=Q16,(E29+F29)*2*G29,0)+IF(C30=Q16,(E30+F30)*2*G30,0)+IF(C31=Q16,(E31+F31)*2*G31,0)+IF(C32=Q16,(E32+F32)*2*G32,0))/1000,0)</f>
        <v>14</v>
      </c>
      <c r="O34" s="23"/>
      <c r="Q34" s="236">
        <v>0</v>
      </c>
    </row>
    <row r="35" spans="2:17" ht="18.75" x14ac:dyDescent="0.25">
      <c r="B35" s="65"/>
      <c r="C35" s="66"/>
      <c r="D35" s="66"/>
      <c r="E35" s="66"/>
      <c r="F35" s="66"/>
      <c r="G35" s="66"/>
      <c r="H35" s="67"/>
      <c r="I35" s="16"/>
      <c r="J35" s="379" t="s">
        <v>124</v>
      </c>
      <c r="K35" s="380"/>
      <c r="L35" s="381"/>
      <c r="M35" s="119" t="s">
        <v>13</v>
      </c>
      <c r="N35" s="177">
        <f>IF(K5&gt;0,M14+M15+M16,0)</f>
        <v>6</v>
      </c>
      <c r="O35" s="23"/>
      <c r="Q35" s="235">
        <v>1</v>
      </c>
    </row>
    <row r="36" spans="2:17" ht="18.75" x14ac:dyDescent="0.25">
      <c r="B36" s="65"/>
      <c r="C36" s="77"/>
      <c r="D36" s="77"/>
      <c r="E36" s="78"/>
      <c r="F36" s="78"/>
      <c r="G36" s="17"/>
      <c r="H36" s="67"/>
      <c r="I36" s="16"/>
      <c r="J36" s="322" t="s">
        <v>125</v>
      </c>
      <c r="K36" s="323"/>
      <c r="L36" s="323"/>
      <c r="M36" s="128" t="s">
        <v>14</v>
      </c>
      <c r="N36" s="227">
        <f>IF(C12=Q55,ROUNDUP(K6*2/1000,0),0)+IF(AND(C10=Q11,C12=Q55),ROUNDUP(K6*2/1000,0),0)</f>
        <v>0</v>
      </c>
      <c r="O36" s="23"/>
      <c r="Q36" s="236">
        <v>2</v>
      </c>
    </row>
    <row r="37" spans="2:17" ht="18.75" x14ac:dyDescent="0.25">
      <c r="B37" s="65"/>
      <c r="C37" s="66"/>
      <c r="D37" s="66"/>
      <c r="E37" s="66"/>
      <c r="F37" s="66"/>
      <c r="G37" s="17"/>
      <c r="H37" s="67"/>
      <c r="I37" s="16"/>
      <c r="J37" s="322" t="s">
        <v>153</v>
      </c>
      <c r="K37" s="323"/>
      <c r="L37" s="323"/>
      <c r="M37" s="128" t="s">
        <v>15</v>
      </c>
      <c r="N37" s="227">
        <f>IF(C12=Q54,ROUNDUP(K6*2/1000,0),0)+IF(AND(C10=Q11,C12=Q54),ROUNDUP(K6*2/1000,0),0)</f>
        <v>6</v>
      </c>
      <c r="O37" s="23"/>
      <c r="Q37" s="236">
        <v>3</v>
      </c>
    </row>
    <row r="38" spans="2:17" ht="18.75" x14ac:dyDescent="0.25">
      <c r="B38" s="65"/>
      <c r="C38" s="375" t="str">
        <f>IF(AND(SUM(I28:I32)/C24=1,E32=0,C24&lt;&gt;1),Q46,Q47)</f>
        <v xml:space="preserve"> </v>
      </c>
      <c r="D38" s="375"/>
      <c r="E38" s="78"/>
      <c r="F38" s="78"/>
      <c r="G38" s="17"/>
      <c r="H38" s="67"/>
      <c r="I38" s="16"/>
      <c r="J38" s="322" t="s">
        <v>127</v>
      </c>
      <c r="K38" s="323"/>
      <c r="L38" s="323"/>
      <c r="M38" s="114" t="s">
        <v>16</v>
      </c>
      <c r="N38" s="179">
        <f>IF(C12=Q539,4,0)+IF(C12=Q539,4,0)</f>
        <v>0</v>
      </c>
      <c r="O38" s="23"/>
      <c r="Q38" s="236">
        <v>4</v>
      </c>
    </row>
    <row r="39" spans="2:17" ht="19.5" thickBot="1" x14ac:dyDescent="0.3">
      <c r="B39" s="65"/>
      <c r="C39" s="66"/>
      <c r="D39" s="66"/>
      <c r="E39" s="66"/>
      <c r="F39" s="66"/>
      <c r="G39" s="17"/>
      <c r="H39" s="67"/>
      <c r="I39" s="16"/>
      <c r="J39" s="370" t="s">
        <v>113</v>
      </c>
      <c r="K39" s="371"/>
      <c r="L39" s="372"/>
      <c r="M39" s="41" t="s">
        <v>46</v>
      </c>
      <c r="N39" s="224">
        <f>C10</f>
        <v>1</v>
      </c>
      <c r="O39" s="23"/>
    </row>
    <row r="40" spans="2:17" ht="18.75" x14ac:dyDescent="0.25">
      <c r="B40" s="65"/>
      <c r="C40" s="66"/>
      <c r="D40" s="66"/>
      <c r="E40" s="66"/>
      <c r="F40" s="66"/>
      <c r="G40" s="17"/>
      <c r="H40" s="67"/>
      <c r="I40" s="16"/>
      <c r="J40" s="22"/>
      <c r="K40" s="17"/>
      <c r="L40" s="367"/>
      <c r="M40" s="367"/>
      <c r="N40" s="367"/>
      <c r="O40" s="23"/>
    </row>
    <row r="41" spans="2:17" ht="18.75" x14ac:dyDescent="0.3">
      <c r="B41" s="79"/>
      <c r="C41" s="80"/>
      <c r="D41" s="275"/>
      <c r="E41" s="275"/>
      <c r="F41" s="275"/>
      <c r="G41" s="275"/>
      <c r="H41" s="67"/>
      <c r="I41" s="16"/>
      <c r="J41" s="22"/>
      <c r="K41" s="17"/>
      <c r="L41" s="17"/>
      <c r="M41" s="17"/>
      <c r="N41" s="17"/>
      <c r="O41" s="23"/>
    </row>
    <row r="42" spans="2:17" ht="18.75" x14ac:dyDescent="0.25">
      <c r="B42" s="22"/>
      <c r="C42" s="17"/>
      <c r="D42" s="17"/>
      <c r="E42" s="17"/>
      <c r="F42" s="17"/>
      <c r="G42" s="17"/>
      <c r="H42" s="23"/>
      <c r="I42" s="16"/>
      <c r="J42" s="22"/>
      <c r="K42" s="17"/>
      <c r="L42" s="17"/>
      <c r="M42" s="17"/>
      <c r="N42" s="17"/>
      <c r="O42" s="23"/>
      <c r="Q42" s="187" t="s">
        <v>154</v>
      </c>
    </row>
    <row r="43" spans="2:17" ht="18.75" x14ac:dyDescent="0.3">
      <c r="B43" s="79"/>
      <c r="C43" s="80"/>
      <c r="D43" s="275"/>
      <c r="E43" s="275"/>
      <c r="F43" s="275"/>
      <c r="G43" s="275"/>
      <c r="H43" s="63"/>
      <c r="I43" s="16"/>
      <c r="J43" s="22"/>
      <c r="K43" s="17"/>
      <c r="L43" s="17"/>
      <c r="M43" s="17"/>
      <c r="N43" s="17"/>
      <c r="O43" s="23"/>
      <c r="Q43" s="187" t="s">
        <v>155</v>
      </c>
    </row>
    <row r="44" spans="2:17" ht="18.75" x14ac:dyDescent="0.3">
      <c r="B44" s="79"/>
      <c r="C44" s="80"/>
      <c r="D44" s="275"/>
      <c r="E44" s="275"/>
      <c r="F44" s="275"/>
      <c r="G44" s="275"/>
      <c r="H44" s="63"/>
      <c r="I44" s="16"/>
      <c r="J44" s="22"/>
      <c r="K44" s="17"/>
      <c r="L44" s="17"/>
      <c r="M44" s="17"/>
      <c r="N44" s="17"/>
      <c r="O44" s="23"/>
      <c r="Q44" s="52"/>
    </row>
    <row r="45" spans="2:17" ht="18.75" x14ac:dyDescent="0.3">
      <c r="B45" s="79"/>
      <c r="C45" s="80"/>
      <c r="D45" s="275"/>
      <c r="E45" s="275"/>
      <c r="F45" s="275"/>
      <c r="G45" s="275"/>
      <c r="H45" s="63"/>
      <c r="I45" s="16"/>
      <c r="J45" s="22"/>
      <c r="K45" s="17"/>
      <c r="L45" s="17"/>
      <c r="M45" s="17"/>
      <c r="N45" s="17"/>
      <c r="O45" s="23"/>
      <c r="Q45" s="52"/>
    </row>
    <row r="46" spans="2:17" ht="19.5" thickBot="1" x14ac:dyDescent="0.35">
      <c r="B46" s="84"/>
      <c r="C46" s="85"/>
      <c r="D46" s="86"/>
      <c r="E46" s="86"/>
      <c r="F46" s="86"/>
      <c r="G46" s="86"/>
      <c r="H46" s="87"/>
      <c r="I46" s="138"/>
      <c r="J46" s="27"/>
      <c r="K46" s="373"/>
      <c r="L46" s="373"/>
      <c r="M46" s="373"/>
      <c r="N46" s="373"/>
      <c r="O46" s="139"/>
      <c r="Q46" s="188" t="s">
        <v>156</v>
      </c>
    </row>
    <row r="47" spans="2:17" x14ac:dyDescent="0.25">
      <c r="J47" s="17"/>
      <c r="K47" s="17"/>
      <c r="L47" s="17"/>
      <c r="M47" s="17"/>
      <c r="N47" s="17"/>
      <c r="O47" s="17"/>
      <c r="Q47" s="11" t="s">
        <v>0</v>
      </c>
    </row>
    <row r="48" spans="2:17" x14ac:dyDescent="0.25">
      <c r="J48" s="17"/>
      <c r="K48" s="17"/>
      <c r="L48" s="17"/>
      <c r="M48" s="17"/>
      <c r="N48" s="17"/>
      <c r="O48" s="17"/>
    </row>
    <row r="49" spans="8:17" x14ac:dyDescent="0.25">
      <c r="J49" s="17"/>
      <c r="K49" s="17"/>
      <c r="L49" s="17"/>
      <c r="M49" s="17"/>
      <c r="N49" s="17"/>
      <c r="O49" s="17"/>
    </row>
    <row r="50" spans="8:17" x14ac:dyDescent="0.25">
      <c r="J50" s="16"/>
      <c r="K50" s="91"/>
      <c r="L50" s="38"/>
      <c r="M50" s="38"/>
      <c r="N50" s="92"/>
      <c r="O50" s="72"/>
    </row>
    <row r="51" spans="8:17" x14ac:dyDescent="0.25">
      <c r="J51" s="16"/>
      <c r="K51" s="91"/>
      <c r="L51" s="38"/>
      <c r="M51" s="38"/>
      <c r="N51" s="92"/>
      <c r="O51" s="72"/>
    </row>
    <row r="52" spans="8:17" x14ac:dyDescent="0.25">
      <c r="J52" s="16"/>
      <c r="K52" s="91"/>
      <c r="L52" s="38"/>
      <c r="M52" s="38"/>
      <c r="N52" s="92"/>
      <c r="O52" s="72"/>
      <c r="P52" s="43" t="str">
        <f>'Top Hung'!R52</f>
        <v>Серебро матовое</v>
      </c>
      <c r="Q52" s="182" t="s">
        <v>123</v>
      </c>
    </row>
    <row r="53" spans="8:17" x14ac:dyDescent="0.25">
      <c r="H53" s="11" t="s">
        <v>0</v>
      </c>
      <c r="J53" s="16"/>
      <c r="K53" s="91"/>
      <c r="L53" s="38"/>
      <c r="M53" s="38"/>
      <c r="N53" s="92"/>
      <c r="O53" s="72"/>
      <c r="P53" s="43" t="str">
        <f>'Top Hung'!R53</f>
        <v>Черный матовый</v>
      </c>
      <c r="Q53" s="238" t="s">
        <v>124</v>
      </c>
    </row>
    <row r="54" spans="8:17" x14ac:dyDescent="0.25">
      <c r="J54" s="16"/>
      <c r="K54" s="91"/>
      <c r="L54" s="38"/>
      <c r="M54" s="38"/>
      <c r="N54" s="92"/>
      <c r="O54" s="72"/>
      <c r="P54" s="43" t="str">
        <f>'Top Hung'!R54</f>
        <v>Слоновая кость</v>
      </c>
      <c r="Q54" s="238" t="s">
        <v>153</v>
      </c>
    </row>
    <row r="55" spans="8:17" x14ac:dyDescent="0.25">
      <c r="J55" s="16"/>
      <c r="K55" s="91"/>
      <c r="L55" s="38"/>
      <c r="M55" s="38"/>
      <c r="N55" s="92"/>
      <c r="O55" s="72"/>
      <c r="P55" s="43" t="str">
        <f>'Top Hung'!R55</f>
        <v>Белый матовый</v>
      </c>
      <c r="Q55" s="182" t="s">
        <v>125</v>
      </c>
    </row>
    <row r="56" spans="8:17" x14ac:dyDescent="0.25">
      <c r="J56" s="16"/>
      <c r="K56" s="91"/>
      <c r="L56" s="38"/>
      <c r="M56" s="38"/>
      <c r="N56" s="92"/>
      <c r="O56" s="72"/>
      <c r="P56" s="43" t="str">
        <f>'Top Hung'!R56</f>
        <v xml:space="preserve">Венге темный </v>
      </c>
    </row>
    <row r="57" spans="8:17" x14ac:dyDescent="0.25">
      <c r="J57" s="16"/>
      <c r="K57" s="91"/>
      <c r="L57" s="38"/>
      <c r="M57" s="38"/>
      <c r="N57" s="92"/>
      <c r="O57" s="72"/>
      <c r="P57" s="43" t="str">
        <f>'Top Hung'!R57</f>
        <v>Дуб белый</v>
      </c>
    </row>
    <row r="58" spans="8:17" x14ac:dyDescent="0.25">
      <c r="J58" s="16"/>
      <c r="K58" s="91"/>
      <c r="L58" s="38"/>
      <c r="M58" s="38"/>
      <c r="N58" s="92"/>
      <c r="O58" s="72"/>
      <c r="P58" s="43" t="str">
        <f>'Top Hung'!R58</f>
        <v xml:space="preserve"> медь античная*</v>
      </c>
      <c r="Q58" s="182" t="s">
        <v>143</v>
      </c>
    </row>
    <row r="59" spans="8:17" x14ac:dyDescent="0.25">
      <c r="J59" s="16"/>
      <c r="K59" s="91"/>
      <c r="L59" s="38"/>
      <c r="M59" s="38"/>
      <c r="N59" s="92"/>
      <c r="O59" s="72"/>
      <c r="P59" s="43" t="str">
        <f>'Top Hung'!R59</f>
        <v>сталь воронёная*</v>
      </c>
      <c r="Q59" s="189" t="s">
        <v>144</v>
      </c>
    </row>
    <row r="60" spans="8:17" x14ac:dyDescent="0.25">
      <c r="J60" s="16"/>
      <c r="K60" s="91"/>
      <c r="L60" s="38"/>
      <c r="M60" s="38"/>
      <c r="N60" s="92"/>
      <c r="O60" s="72"/>
      <c r="P60" s="43"/>
    </row>
    <row r="61" spans="8:17" x14ac:dyDescent="0.25">
      <c r="J61" s="366"/>
      <c r="K61" s="366"/>
      <c r="L61" s="366"/>
      <c r="M61" s="366"/>
      <c r="N61" s="366"/>
      <c r="O61" s="93"/>
    </row>
    <row r="62" spans="8:17" ht="15.75" customHeight="1" x14ac:dyDescent="0.25">
      <c r="J62" s="16"/>
      <c r="K62" s="16"/>
      <c r="L62" s="16"/>
      <c r="M62" s="16"/>
      <c r="N62" s="16"/>
      <c r="O62" s="16"/>
    </row>
    <row r="63" spans="8:17" ht="15.75" customHeight="1" x14ac:dyDescent="0.25">
      <c r="J63" s="17"/>
      <c r="K63" s="17"/>
      <c r="L63" s="17"/>
      <c r="M63" s="17"/>
      <c r="N63" s="17"/>
      <c r="O63" s="17"/>
      <c r="Q63" s="183" t="s">
        <v>195</v>
      </c>
    </row>
    <row r="64" spans="8:17" ht="15.75" customHeight="1" x14ac:dyDescent="0.25">
      <c r="J64" s="17"/>
      <c r="K64" s="17"/>
      <c r="L64" s="17"/>
      <c r="M64" s="17"/>
      <c r="N64" s="17"/>
      <c r="O64" s="17"/>
      <c r="Q64" s="189" t="s">
        <v>144</v>
      </c>
    </row>
    <row r="65" spans="10:18" ht="15.75" customHeight="1" x14ac:dyDescent="0.25">
      <c r="J65" s="17"/>
      <c r="K65" s="17"/>
      <c r="L65" s="17"/>
      <c r="M65" s="17"/>
      <c r="N65" s="17"/>
      <c r="O65" s="17"/>
    </row>
    <row r="66" spans="10:18" x14ac:dyDescent="0.25">
      <c r="J66" s="17"/>
      <c r="K66" s="17"/>
      <c r="L66" s="17"/>
      <c r="M66" s="17"/>
      <c r="N66" s="17"/>
      <c r="O66" s="17"/>
    </row>
    <row r="67" spans="10:18" x14ac:dyDescent="0.25">
      <c r="J67" s="17"/>
      <c r="K67" s="17"/>
      <c r="L67" s="17"/>
      <c r="M67" s="17"/>
      <c r="N67" s="17"/>
      <c r="O67" s="17"/>
      <c r="P67" s="11" t="s">
        <v>15</v>
      </c>
    </row>
    <row r="68" spans="10:18" x14ac:dyDescent="0.25">
      <c r="J68" s="17"/>
      <c r="K68" s="17"/>
      <c r="L68" s="17"/>
      <c r="M68" s="17"/>
      <c r="N68" s="17"/>
      <c r="O68" s="17"/>
      <c r="P68" s="11" t="s">
        <v>50</v>
      </c>
    </row>
    <row r="69" spans="10:18" x14ac:dyDescent="0.25">
      <c r="J69" s="17"/>
      <c r="K69" s="17"/>
      <c r="L69" s="17"/>
      <c r="M69" s="17"/>
      <c r="N69" s="17"/>
      <c r="O69" s="17"/>
    </row>
    <row r="70" spans="10:18" x14ac:dyDescent="0.25">
      <c r="J70" s="17"/>
      <c r="K70" s="17"/>
      <c r="L70" s="17"/>
      <c r="M70" s="17"/>
      <c r="N70" s="17"/>
      <c r="O70" s="17"/>
      <c r="P70" s="17"/>
      <c r="Q70" s="17"/>
      <c r="R70" s="17"/>
    </row>
    <row r="71" spans="10:18" x14ac:dyDescent="0.25">
      <c r="P71" s="17"/>
      <c r="Q71" s="17"/>
      <c r="R71" s="17"/>
    </row>
    <row r="72" spans="10:18" x14ac:dyDescent="0.25">
      <c r="P72" s="17"/>
      <c r="Q72" s="17"/>
      <c r="R72" s="17"/>
    </row>
    <row r="73" spans="10:18" x14ac:dyDescent="0.25">
      <c r="P73" s="17"/>
      <c r="Q73" s="17"/>
      <c r="R73" s="17"/>
    </row>
  </sheetData>
  <sheetProtection algorithmName="SHA-512" hashValue="W7eAmDeCEWp8dja2RpvpN72FA7pnR/o3N3uh0zr4l/qsW5OZHNaAf6UeIoe+6L9apC68/QhW9IeV8363Z2uGXw==" saltValue="4+Tr7DiJB0OjPa0qtC8TZQ==" spinCount="100000" sheet="1" selectLockedCells="1"/>
  <mergeCells count="44">
    <mergeCell ref="E33:G33"/>
    <mergeCell ref="C34:D34"/>
    <mergeCell ref="C38:D38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  <mergeCell ref="J33:L33"/>
    <mergeCell ref="J61:N61"/>
    <mergeCell ref="L40:N40"/>
    <mergeCell ref="J21:L21"/>
    <mergeCell ref="J34:L34"/>
    <mergeCell ref="J36:L36"/>
    <mergeCell ref="J37:L37"/>
    <mergeCell ref="J38:L38"/>
    <mergeCell ref="J39:L39"/>
    <mergeCell ref="K46:N46"/>
    <mergeCell ref="J2:O2"/>
    <mergeCell ref="B1:O1"/>
    <mergeCell ref="D8:H8"/>
    <mergeCell ref="B2:H2"/>
    <mergeCell ref="B3:C3"/>
    <mergeCell ref="J3:K3"/>
    <mergeCell ref="D4:H4"/>
    <mergeCell ref="D5:H5"/>
    <mergeCell ref="D6:H6"/>
    <mergeCell ref="D7:H7"/>
    <mergeCell ref="J8:M8"/>
    <mergeCell ref="D12:H12"/>
    <mergeCell ref="J18:O18"/>
    <mergeCell ref="D9:H9"/>
    <mergeCell ref="B18:H20"/>
    <mergeCell ref="D10:H10"/>
    <mergeCell ref="D11:H11"/>
    <mergeCell ref="D13:H13"/>
    <mergeCell ref="B17:H17"/>
  </mergeCells>
  <conditionalFormatting sqref="K5:K6 L10:O17 N23:N32 N35 N38:N39">
    <cfRule type="expression" dxfId="91" priority="5">
      <formula>$C$5=0</formula>
    </cfRule>
  </conditionalFormatting>
  <conditionalFormatting sqref="D5:H6 D9:H13">
    <cfRule type="expression" dxfId="90" priority="6">
      <formula>$C5=0</formula>
    </cfRule>
  </conditionalFormatting>
  <conditionalFormatting sqref="O10">
    <cfRule type="expression" dxfId="89" priority="60">
      <formula>$C$5=0</formula>
    </cfRule>
  </conditionalFormatting>
  <conditionalFormatting sqref="O14:O16">
    <cfRule type="expression" dxfId="88" priority="59">
      <formula>$C$5=0</formula>
    </cfRule>
  </conditionalFormatting>
  <conditionalFormatting sqref="O17">
    <cfRule type="expression" dxfId="87" priority="58">
      <formula>$C$5=0</formula>
    </cfRule>
  </conditionalFormatting>
  <conditionalFormatting sqref="O46">
    <cfRule type="expression" dxfId="86" priority="55">
      <formula>$C$5=0</formula>
    </cfRule>
  </conditionalFormatting>
  <conditionalFormatting sqref="O11">
    <cfRule type="expression" dxfId="85" priority="54">
      <formula>$C$5=0</formula>
    </cfRule>
  </conditionalFormatting>
  <conditionalFormatting sqref="O12">
    <cfRule type="expression" dxfId="84" priority="53">
      <formula>$C$5=0</formula>
    </cfRule>
  </conditionalFormatting>
  <conditionalFormatting sqref="O13">
    <cfRule type="expression" dxfId="83" priority="52">
      <formula>$C$5=0</formula>
    </cfRule>
  </conditionalFormatting>
  <conditionalFormatting sqref="C12">
    <cfRule type="cellIs" dxfId="82" priority="32" operator="greaterThan">
      <formula>0</formula>
    </cfRule>
  </conditionalFormatting>
  <conditionalFormatting sqref="D12:H12">
    <cfRule type="expression" dxfId="81" priority="31">
      <formula>$C$6=0</formula>
    </cfRule>
  </conditionalFormatting>
  <conditionalFormatting sqref="C13">
    <cfRule type="cellIs" dxfId="80" priority="28" operator="greaterThan">
      <formula>0</formula>
    </cfRule>
  </conditionalFormatting>
  <conditionalFormatting sqref="D13:H13">
    <cfRule type="expression" dxfId="79" priority="27">
      <formula>$C$5=0</formula>
    </cfRule>
  </conditionalFormatting>
  <conditionalFormatting sqref="N33">
    <cfRule type="expression" dxfId="78" priority="21">
      <formula>$C$5=0</formula>
    </cfRule>
  </conditionalFormatting>
  <conditionalFormatting sqref="N36">
    <cfRule type="expression" dxfId="77" priority="17">
      <formula>$C$5=0</formula>
    </cfRule>
  </conditionalFormatting>
  <conditionalFormatting sqref="N34">
    <cfRule type="expression" dxfId="76" priority="19">
      <formula>$C$5=0</formula>
    </cfRule>
  </conditionalFormatting>
  <conditionalFormatting sqref="N37">
    <cfRule type="expression" dxfId="75" priority="18">
      <formula>$C$5=0</formula>
    </cfRule>
  </conditionalFormatting>
  <conditionalFormatting sqref="K5">
    <cfRule type="expression" dxfId="74" priority="12">
      <formula>AND(OR($K$5&lt;300,$K$5&gt;600),$C$5&gt;0)</formula>
    </cfRule>
  </conditionalFormatting>
  <conditionalFormatting sqref="D10:H11">
    <cfRule type="expression" dxfId="73" priority="11">
      <formula>$C$5=0</formula>
    </cfRule>
  </conditionalFormatting>
  <conditionalFormatting sqref="E28 H33 F28:H32">
    <cfRule type="expression" dxfId="72" priority="10">
      <formula>$C$5=0</formula>
    </cfRule>
  </conditionalFormatting>
  <conditionalFormatting sqref="N38">
    <cfRule type="expression" dxfId="71" priority="8">
      <formula>$C$4=0</formula>
    </cfRule>
  </conditionalFormatting>
  <conditionalFormatting sqref="K6">
    <cfRule type="expression" dxfId="70" priority="78">
      <formula>$K$6&gt;3200</formula>
    </cfRule>
  </conditionalFormatting>
  <conditionalFormatting sqref="C8">
    <cfRule type="cellIs" dxfId="69" priority="3" operator="greaterThan">
      <formula>0</formula>
    </cfRule>
  </conditionalFormatting>
  <conditionalFormatting sqref="D8:H8">
    <cfRule type="expression" dxfId="68" priority="2">
      <formula>$C$6=0</formula>
    </cfRule>
  </conditionalFormatting>
  <conditionalFormatting sqref="D5">
    <cfRule type="expression" dxfId="67" priority="216">
      <formula>$D$5=$Q$63</formula>
    </cfRule>
  </conditionalFormatting>
  <conditionalFormatting sqref="C38">
    <cfRule type="expression" dxfId="66" priority="217">
      <formula>$C$38=$Q$46</formula>
    </cfRule>
  </conditionalFormatting>
  <conditionalFormatting sqref="C34">
    <cfRule type="expression" dxfId="65" priority="218">
      <formula>$C$34=$Q$43</formula>
    </cfRule>
  </conditionalFormatting>
  <conditionalFormatting sqref="C34:D34">
    <cfRule type="expression" dxfId="64" priority="219">
      <formula>$C$34=$Q$42</formula>
    </cfRule>
  </conditionalFormatting>
  <conditionalFormatting sqref="D6:H6">
    <cfRule type="expression" dxfId="63" priority="220">
      <formula>$D$6=$Q$58</formula>
    </cfRule>
  </conditionalFormatting>
  <conditionalFormatting sqref="D7:H7">
    <cfRule type="expression" dxfId="62" priority="1">
      <formula>$C$6=0</formula>
    </cfRule>
  </conditionalFormatting>
  <conditionalFormatting sqref="C9">
    <cfRule type="expression" dxfId="61" priority="253">
      <formula>AND($C$9=$Q$6,#REF!=$P$53)</formula>
    </cfRule>
  </conditionalFormatting>
  <dataValidations count="8">
    <dataValidation type="list" allowBlank="1" showInputMessage="1" showErrorMessage="1" sqref="C11" xr:uid="{00000000-0002-0000-0200-000000000000}">
      <formula1>$Q$19:$Q$20</formula1>
    </dataValidation>
    <dataValidation type="list" allowBlank="1" showInputMessage="1" showErrorMessage="1" sqref="C9" xr:uid="{00000000-0002-0000-0200-000001000000}">
      <formula1>$Q$6:$Q$7</formula1>
    </dataValidation>
    <dataValidation type="list" allowBlank="1" showInputMessage="1" showErrorMessage="1" sqref="C10" xr:uid="{00000000-0002-0000-0200-000002000000}">
      <formula1>$Q$10:$Q$11</formula1>
    </dataValidation>
    <dataValidation type="list" allowBlank="1" showInputMessage="1" showErrorMessage="1" sqref="C7" xr:uid="{00000000-0002-0000-0200-000003000000}">
      <formula1>$Q$34:$Q$38</formula1>
    </dataValidation>
    <dataValidation type="list" allowBlank="1" showInputMessage="1" showErrorMessage="1" sqref="C28:C32" xr:uid="{00000000-0002-0000-0200-000004000000}">
      <formula1>$Q$14:$Q$16</formula1>
    </dataValidation>
    <dataValidation type="list" allowBlank="1" showInputMessage="1" showErrorMessage="1" sqref="C12" xr:uid="{00000000-0002-0000-0200-000005000000}">
      <formula1>$Q$54:$Q$55</formula1>
    </dataValidation>
    <dataValidation type="whole" allowBlank="1" showInputMessage="1" showErrorMessage="1" sqref="C13" xr:uid="{00000000-0002-0000-0200-000006000000}">
      <formula1>150</formula1>
      <formula2>K6</formula2>
    </dataValidation>
    <dataValidation type="list" allowBlank="1" showInputMessage="1" showErrorMessage="1" sqref="C8" xr:uid="{00000000-0002-0000-0200-000007000000}">
      <formula1>$S$2:$S$3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theme="1"/>
    <pageSetUpPr fitToPage="1"/>
  </sheetPr>
  <dimension ref="B1:Y67"/>
  <sheetViews>
    <sheetView topLeftCell="B1" zoomScale="55" zoomScaleNormal="55" zoomScalePageLayoutView="110" workbookViewId="0">
      <selection activeCell="C5" sqref="C5"/>
    </sheetView>
  </sheetViews>
  <sheetFormatPr defaultColWidth="8.85546875" defaultRowHeight="15" x14ac:dyDescent="0.25"/>
  <cols>
    <col min="1" max="1" width="0.85546875" style="52" customWidth="1"/>
    <col min="2" max="2" width="43.140625" style="52" customWidth="1"/>
    <col min="3" max="3" width="29.7109375" style="52" customWidth="1"/>
    <col min="4" max="4" width="18.28515625" style="52" customWidth="1"/>
    <col min="5" max="8" width="14.7109375" style="52" customWidth="1"/>
    <col min="9" max="9" width="2" style="52" customWidth="1"/>
    <col min="10" max="10" width="29.85546875" style="52" customWidth="1"/>
    <col min="11" max="11" width="15.140625" style="52" customWidth="1"/>
    <col min="12" max="12" width="12.5703125" style="52" customWidth="1"/>
    <col min="13" max="13" width="25.42578125" style="52" customWidth="1"/>
    <col min="14" max="14" width="14" style="52" customWidth="1"/>
    <col min="15" max="15" width="16.7109375" style="52" customWidth="1"/>
    <col min="16" max="16" width="1.140625" style="52" customWidth="1"/>
    <col min="17" max="17" width="23.42578125" style="52" hidden="1" customWidth="1"/>
    <col min="18" max="18" width="19.42578125" style="52" hidden="1" customWidth="1"/>
    <col min="19" max="19" width="8.85546875" style="52" hidden="1" customWidth="1"/>
    <col min="20" max="20" width="16.7109375" style="52" hidden="1" customWidth="1"/>
    <col min="21" max="21" width="26.7109375" style="52" hidden="1" customWidth="1"/>
    <col min="22" max="22" width="18.5703125" style="52" hidden="1" customWidth="1"/>
    <col min="23" max="23" width="8.85546875" style="52" hidden="1" customWidth="1"/>
    <col min="24" max="24" width="8.85546875" style="52" customWidth="1"/>
    <col min="25" max="16384" width="8.85546875" style="52"/>
  </cols>
  <sheetData>
    <row r="1" spans="2:23" ht="19.5" thickBot="1" x14ac:dyDescent="0.3">
      <c r="B1" s="414" t="s">
        <v>196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6"/>
      <c r="P1" s="94"/>
    </row>
    <row r="2" spans="2:23" s="12" customFormat="1" ht="21" x14ac:dyDescent="0.25">
      <c r="B2" s="417" t="s">
        <v>61</v>
      </c>
      <c r="C2" s="418"/>
      <c r="D2" s="418"/>
      <c r="E2" s="418"/>
      <c r="F2" s="418"/>
      <c r="G2" s="418"/>
      <c r="H2" s="419"/>
      <c r="I2" s="105"/>
      <c r="J2" s="420" t="s">
        <v>62</v>
      </c>
      <c r="K2" s="421"/>
      <c r="L2" s="421"/>
      <c r="M2" s="421"/>
      <c r="N2" s="421"/>
      <c r="O2" s="422"/>
      <c r="P2" s="45"/>
      <c r="U2" s="11" t="s">
        <v>221</v>
      </c>
      <c r="V2" s="11" t="s">
        <v>49</v>
      </c>
      <c r="W2" s="12">
        <f>IF(C8=U2,9,8)</f>
        <v>9</v>
      </c>
    </row>
    <row r="3" spans="2:23" s="95" customFormat="1" ht="15.75" x14ac:dyDescent="0.25">
      <c r="B3" s="406" t="s">
        <v>170</v>
      </c>
      <c r="C3" s="407"/>
      <c r="D3" s="13"/>
      <c r="E3" s="13"/>
      <c r="F3" s="13"/>
      <c r="G3" s="13"/>
      <c r="H3" s="14"/>
      <c r="I3" s="13"/>
      <c r="J3" s="406" t="s">
        <v>67</v>
      </c>
      <c r="K3" s="407"/>
      <c r="L3" s="13"/>
      <c r="M3" s="13"/>
      <c r="N3" s="13"/>
      <c r="O3" s="14"/>
      <c r="P3" s="13"/>
      <c r="U3" s="11" t="s">
        <v>158</v>
      </c>
      <c r="V3" s="11" t="s">
        <v>4</v>
      </c>
    </row>
    <row r="4" spans="2:23" ht="18.75" x14ac:dyDescent="0.25">
      <c r="B4" s="239" t="s">
        <v>82</v>
      </c>
      <c r="C4" s="240" t="s">
        <v>83</v>
      </c>
      <c r="D4" s="408" t="s">
        <v>84</v>
      </c>
      <c r="E4" s="409"/>
      <c r="F4" s="409"/>
      <c r="G4" s="409"/>
      <c r="H4" s="410"/>
      <c r="I4" s="16"/>
      <c r="J4" s="245" t="s">
        <v>63</v>
      </c>
      <c r="K4" s="247" t="s">
        <v>66</v>
      </c>
      <c r="L4" s="16"/>
      <c r="M4" s="16"/>
      <c r="N4" s="16"/>
      <c r="O4" s="21"/>
      <c r="P4" s="16"/>
      <c r="R4" s="96"/>
    </row>
    <row r="5" spans="2:23" ht="20.100000000000001" customHeight="1" x14ac:dyDescent="0.25">
      <c r="B5" s="242" t="s">
        <v>68</v>
      </c>
      <c r="C5" s="201">
        <v>1000</v>
      </c>
      <c r="D5" s="411" t="str">
        <f>IF(OR(K5&lt;200,K5&gt;700),R58,R59)</f>
        <v>permissible</v>
      </c>
      <c r="E5" s="412"/>
      <c r="F5" s="412"/>
      <c r="G5" s="412"/>
      <c r="H5" s="413"/>
      <c r="I5" s="16"/>
      <c r="J5" s="246" t="s">
        <v>64</v>
      </c>
      <c r="K5" s="258">
        <f>IF(C9=R67,(C5-10*C10)/C10,ROUNDDOWN(IF(OR(C12=R39,C12=R40),(C5-4*C10)/C10,IF(OR(C12=R41,C12=R42),(C5-10*C10)/C10)),0))</f>
        <v>490</v>
      </c>
      <c r="L5" s="16"/>
      <c r="M5" s="98"/>
      <c r="N5" s="98"/>
      <c r="O5" s="140"/>
      <c r="P5" s="16"/>
      <c r="R5" s="235">
        <v>1</v>
      </c>
    </row>
    <row r="6" spans="2:23" ht="20.100000000000001" customHeight="1" x14ac:dyDescent="0.25">
      <c r="B6" s="242" t="s">
        <v>69</v>
      </c>
      <c r="C6" s="201">
        <v>2600</v>
      </c>
      <c r="D6" s="411" t="str">
        <f>IF(K6&gt;3200,R62,R63)</f>
        <v>permissible</v>
      </c>
      <c r="E6" s="412"/>
      <c r="F6" s="412"/>
      <c r="G6" s="412"/>
      <c r="H6" s="413"/>
      <c r="I6" s="16"/>
      <c r="J6" s="246" t="s">
        <v>65</v>
      </c>
      <c r="K6" s="258">
        <f>C6-20</f>
        <v>2580</v>
      </c>
      <c r="L6" s="16"/>
      <c r="M6" s="16"/>
      <c r="N6" s="38"/>
      <c r="O6" s="21"/>
      <c r="P6" s="16"/>
      <c r="R6" s="236">
        <v>2</v>
      </c>
    </row>
    <row r="7" spans="2:23" ht="20.100000000000001" customHeight="1" x14ac:dyDescent="0.25">
      <c r="B7" s="242" t="s">
        <v>70</v>
      </c>
      <c r="C7" s="202">
        <v>0</v>
      </c>
      <c r="D7" s="301" t="s">
        <v>169</v>
      </c>
      <c r="E7" s="298"/>
      <c r="F7" s="298"/>
      <c r="G7" s="298"/>
      <c r="H7" s="302"/>
      <c r="I7" s="16"/>
      <c r="J7" s="99"/>
      <c r="K7" s="16"/>
      <c r="L7" s="16"/>
      <c r="M7" s="16"/>
      <c r="N7" s="16"/>
      <c r="O7" s="21"/>
      <c r="P7" s="16"/>
    </row>
    <row r="8" spans="2:23" ht="20.100000000000001" customHeight="1" x14ac:dyDescent="0.25">
      <c r="B8" s="33" t="s">
        <v>71</v>
      </c>
      <c r="C8" s="20" t="s">
        <v>221</v>
      </c>
      <c r="D8" s="301"/>
      <c r="E8" s="298"/>
      <c r="F8" s="298"/>
      <c r="G8" s="298"/>
      <c r="H8" s="302"/>
      <c r="I8" s="16"/>
      <c r="J8" s="406" t="s">
        <v>163</v>
      </c>
      <c r="K8" s="407"/>
      <c r="L8" s="407"/>
      <c r="M8" s="407"/>
      <c r="N8" s="130"/>
      <c r="O8" s="46"/>
      <c r="P8" s="13"/>
    </row>
    <row r="9" spans="2:23" ht="35.1" customHeight="1" x14ac:dyDescent="0.25">
      <c r="B9" s="33" t="s">
        <v>197</v>
      </c>
      <c r="C9" s="20" t="s">
        <v>201</v>
      </c>
      <c r="D9" s="350" t="s">
        <v>208</v>
      </c>
      <c r="E9" s="350"/>
      <c r="F9" s="350"/>
      <c r="G9" s="350"/>
      <c r="H9" s="352"/>
      <c r="I9" s="16"/>
      <c r="J9" s="248" t="s">
        <v>159</v>
      </c>
      <c r="K9" s="249" t="s">
        <v>108</v>
      </c>
      <c r="L9" s="250" t="s">
        <v>160</v>
      </c>
      <c r="M9" s="250" t="s">
        <v>94</v>
      </c>
      <c r="N9" s="251" t="s">
        <v>161</v>
      </c>
      <c r="O9" s="252" t="s">
        <v>162</v>
      </c>
      <c r="P9" s="16"/>
      <c r="R9" s="237" t="s">
        <v>149</v>
      </c>
    </row>
    <row r="10" spans="2:23" ht="35.1" customHeight="1" x14ac:dyDescent="0.25">
      <c r="B10" s="243" t="s">
        <v>73</v>
      </c>
      <c r="C10" s="452">
        <v>2</v>
      </c>
      <c r="D10" s="350" t="s">
        <v>188</v>
      </c>
      <c r="E10" s="351"/>
      <c r="F10" s="351"/>
      <c r="G10" s="351"/>
      <c r="H10" s="352"/>
      <c r="I10" s="16"/>
      <c r="J10" s="152" t="s">
        <v>102</v>
      </c>
      <c r="K10" s="131" t="s">
        <v>1</v>
      </c>
      <c r="L10" s="253">
        <f>K6</f>
        <v>2580</v>
      </c>
      <c r="M10" s="177">
        <f>IF(AND(C6&gt;0,C10=R5),2,IF(AND(C6&gt;0,C10=R6),4,0))</f>
        <v>4</v>
      </c>
      <c r="N10" s="116"/>
      <c r="O10" s="221">
        <f>IF(L10&gt;2650,M10,M10/2)</f>
        <v>2</v>
      </c>
      <c r="P10" s="16"/>
      <c r="R10" s="237" t="s">
        <v>150</v>
      </c>
    </row>
    <row r="11" spans="2:23" ht="35.1" customHeight="1" x14ac:dyDescent="0.25">
      <c r="B11" s="49" t="s">
        <v>198</v>
      </c>
      <c r="C11" s="32" t="s">
        <v>202</v>
      </c>
      <c r="D11" s="350" t="s">
        <v>210</v>
      </c>
      <c r="E11" s="350"/>
      <c r="F11" s="350"/>
      <c r="G11" s="350"/>
      <c r="H11" s="352"/>
      <c r="I11" s="16"/>
      <c r="J11" s="152" t="s">
        <v>105</v>
      </c>
      <c r="K11" s="131" t="s">
        <v>2</v>
      </c>
      <c r="L11" s="253">
        <f>K5-78</f>
        <v>412</v>
      </c>
      <c r="M11" s="177">
        <f>IF(C5=0,0,IF(C9=R66,C10,C10*2))</f>
        <v>2</v>
      </c>
      <c r="N11" s="219">
        <f t="shared" ref="N11:N14" si="0">L11*M11</f>
        <v>824</v>
      </c>
      <c r="O11" s="221">
        <f>CEILING((L11*M11)/5000,1)</f>
        <v>1</v>
      </c>
      <c r="P11" s="16"/>
      <c r="R11" s="237" t="s">
        <v>151</v>
      </c>
    </row>
    <row r="12" spans="2:23" ht="35.1" customHeight="1" x14ac:dyDescent="0.25">
      <c r="B12" s="233" t="s">
        <v>78</v>
      </c>
      <c r="C12" s="26" t="s">
        <v>153</v>
      </c>
      <c r="D12" s="306" t="s">
        <v>209</v>
      </c>
      <c r="E12" s="301"/>
      <c r="F12" s="301"/>
      <c r="G12" s="301"/>
      <c r="H12" s="302"/>
      <c r="I12" s="16"/>
      <c r="J12" s="152" t="s">
        <v>106</v>
      </c>
      <c r="K12" s="131" t="s">
        <v>3</v>
      </c>
      <c r="L12" s="253">
        <f>K5-78</f>
        <v>412</v>
      </c>
      <c r="M12" s="177">
        <f>IF(C5=0,0,IF(C9=R66,C10,0))</f>
        <v>2</v>
      </c>
      <c r="N12" s="219">
        <f t="shared" si="0"/>
        <v>824</v>
      </c>
      <c r="O12" s="221">
        <f>CEILING((L12*M12)/5000,1)</f>
        <v>1</v>
      </c>
      <c r="P12" s="16"/>
      <c r="R12" s="16"/>
    </row>
    <row r="13" spans="2:23" ht="35.1" customHeight="1" x14ac:dyDescent="0.25">
      <c r="B13" s="55" t="s">
        <v>199</v>
      </c>
      <c r="C13" s="263">
        <v>0</v>
      </c>
      <c r="D13" s="301" t="s">
        <v>211</v>
      </c>
      <c r="E13" s="301"/>
      <c r="F13" s="301"/>
      <c r="G13" s="301"/>
      <c r="H13" s="302"/>
      <c r="I13" s="16"/>
      <c r="J13" s="123" t="str">
        <f>C8</f>
        <v>Dividing Rail Standard System</v>
      </c>
      <c r="K13" s="131" t="str">
        <f>IF(J13=U2,V2,V3)</f>
        <v>AS0640.VP540</v>
      </c>
      <c r="L13" s="253">
        <f>IF(AND(C8=U3,C7&gt;0),K5-78,IF(AND(C8=U2,C7&gt;0),K5-76,0))</f>
        <v>0</v>
      </c>
      <c r="M13" s="177">
        <f>C7*C10</f>
        <v>0</v>
      </c>
      <c r="N13" s="219">
        <f t="shared" si="0"/>
        <v>0</v>
      </c>
      <c r="O13" s="221">
        <f>CEILING((L13*M13)/5000,1)</f>
        <v>0</v>
      </c>
      <c r="P13" s="16"/>
      <c r="R13" s="16"/>
    </row>
    <row r="14" spans="2:23" ht="37.15" customHeight="1" x14ac:dyDescent="0.25">
      <c r="B14" s="100" t="s">
        <v>187</v>
      </c>
      <c r="C14" s="241">
        <v>540</v>
      </c>
      <c r="D14" s="382" t="s">
        <v>190</v>
      </c>
      <c r="E14" s="382"/>
      <c r="F14" s="382"/>
      <c r="G14" s="382"/>
      <c r="H14" s="383"/>
      <c r="I14" s="16"/>
      <c r="J14" s="152" t="s">
        <v>176</v>
      </c>
      <c r="K14" s="131" t="s">
        <v>17</v>
      </c>
      <c r="L14" s="253">
        <f>C14</f>
        <v>540</v>
      </c>
      <c r="M14" s="177">
        <f>C10</f>
        <v>2</v>
      </c>
      <c r="N14" s="219">
        <f t="shared" si="0"/>
        <v>1080</v>
      </c>
      <c r="O14" s="222">
        <f>CEILING((L14*M14)/5400,1)</f>
        <v>1</v>
      </c>
      <c r="P14" s="16"/>
    </row>
    <row r="15" spans="2:23" ht="19.5" thickBot="1" x14ac:dyDescent="0.3">
      <c r="B15" s="244" t="s">
        <v>200</v>
      </c>
      <c r="C15" s="30" t="s">
        <v>148</v>
      </c>
      <c r="D15" s="356"/>
      <c r="E15" s="356"/>
      <c r="F15" s="356"/>
      <c r="G15" s="356"/>
      <c r="H15" s="357"/>
      <c r="I15" s="16"/>
      <c r="J15" s="347"/>
      <c r="K15" s="348"/>
      <c r="L15" s="348"/>
      <c r="M15" s="348"/>
      <c r="N15" s="348"/>
      <c r="O15" s="349"/>
      <c r="P15" s="16"/>
    </row>
    <row r="16" spans="2:23" ht="15.75" x14ac:dyDescent="0.25">
      <c r="I16" s="16"/>
      <c r="J16" s="129"/>
      <c r="K16" s="130"/>
      <c r="L16" s="130"/>
      <c r="M16" s="130"/>
      <c r="N16" s="130"/>
      <c r="O16" s="46"/>
      <c r="P16" s="16"/>
      <c r="R16" s="236">
        <v>0</v>
      </c>
    </row>
    <row r="17" spans="2:25" ht="15.75" x14ac:dyDescent="0.25">
      <c r="B17" s="16"/>
      <c r="C17" s="16"/>
      <c r="D17" s="16"/>
      <c r="E17" s="16"/>
      <c r="F17" s="16"/>
      <c r="G17" s="16"/>
      <c r="H17" s="16"/>
      <c r="I17" s="16"/>
      <c r="J17" s="102"/>
      <c r="K17" s="18"/>
      <c r="L17" s="18"/>
      <c r="M17" s="16"/>
      <c r="N17" s="16"/>
      <c r="O17" s="57"/>
      <c r="P17" s="16"/>
      <c r="R17" s="235">
        <v>1</v>
      </c>
    </row>
    <row r="18" spans="2:25" ht="16.5" thickBot="1" x14ac:dyDescent="0.3">
      <c r="B18" s="325" t="s">
        <v>85</v>
      </c>
      <c r="C18" s="325"/>
      <c r="D18" s="325"/>
      <c r="E18" s="325"/>
      <c r="F18" s="325"/>
      <c r="G18" s="325"/>
      <c r="H18" s="325"/>
      <c r="I18" s="16"/>
      <c r="J18" s="406" t="s">
        <v>109</v>
      </c>
      <c r="K18" s="407"/>
      <c r="L18" s="407"/>
      <c r="M18" s="130"/>
      <c r="N18" s="16"/>
      <c r="O18" s="21"/>
      <c r="P18" s="16"/>
      <c r="R18" s="236">
        <v>2</v>
      </c>
    </row>
    <row r="19" spans="2:25" ht="18.75" customHeight="1" x14ac:dyDescent="0.25">
      <c r="B19" s="388" t="s">
        <v>86</v>
      </c>
      <c r="C19" s="388"/>
      <c r="D19" s="388"/>
      <c r="E19" s="388"/>
      <c r="F19" s="388"/>
      <c r="G19" s="388"/>
      <c r="H19" s="388"/>
      <c r="I19" s="16"/>
      <c r="J19" s="389" t="s">
        <v>107</v>
      </c>
      <c r="K19" s="390"/>
      <c r="L19" s="390"/>
      <c r="M19" s="254" t="s">
        <v>108</v>
      </c>
      <c r="N19" s="255" t="s">
        <v>94</v>
      </c>
      <c r="O19" s="21"/>
      <c r="P19" s="16"/>
      <c r="R19" s="236">
        <v>3</v>
      </c>
    </row>
    <row r="20" spans="2:25" ht="15.75" customHeight="1" x14ac:dyDescent="0.25">
      <c r="B20" s="388"/>
      <c r="C20" s="388"/>
      <c r="D20" s="388"/>
      <c r="E20" s="388"/>
      <c r="F20" s="388"/>
      <c r="G20" s="388"/>
      <c r="H20" s="388"/>
      <c r="I20" s="16"/>
      <c r="J20" s="391" t="s">
        <v>201</v>
      </c>
      <c r="K20" s="392"/>
      <c r="L20" s="392"/>
      <c r="M20" s="131" t="s">
        <v>18</v>
      </c>
      <c r="N20" s="225">
        <f>IF(C9=R66,C10,0)</f>
        <v>2</v>
      </c>
      <c r="O20" s="21"/>
      <c r="P20" s="16"/>
      <c r="R20" s="236">
        <v>4</v>
      </c>
    </row>
    <row r="21" spans="2:25" ht="15.75" customHeight="1" x14ac:dyDescent="0.25">
      <c r="B21" s="388"/>
      <c r="C21" s="388"/>
      <c r="D21" s="388"/>
      <c r="E21" s="388"/>
      <c r="F21" s="388"/>
      <c r="G21" s="388"/>
      <c r="H21" s="388"/>
      <c r="I21" s="16"/>
      <c r="J21" s="391" t="s">
        <v>185</v>
      </c>
      <c r="K21" s="392"/>
      <c r="L21" s="392"/>
      <c r="M21" s="131" t="s">
        <v>19</v>
      </c>
      <c r="N21" s="225">
        <f>IF(C11=R34,C10,0)</f>
        <v>0</v>
      </c>
      <c r="O21" s="21"/>
      <c r="P21" s="16"/>
    </row>
    <row r="22" spans="2:25" ht="15.75" x14ac:dyDescent="0.25">
      <c r="B22" s="16"/>
      <c r="C22" s="16"/>
      <c r="D22" s="16"/>
      <c r="E22" s="16"/>
      <c r="F22" s="16"/>
      <c r="G22" s="16"/>
      <c r="H22" s="16"/>
      <c r="I22" s="16"/>
      <c r="J22" s="393" t="s">
        <v>202</v>
      </c>
      <c r="K22" s="394"/>
      <c r="L22" s="394"/>
      <c r="M22" s="131" t="s">
        <v>20</v>
      </c>
      <c r="N22" s="177">
        <f>IF(C11=R35,C10,0)</f>
        <v>2</v>
      </c>
      <c r="O22" s="21"/>
      <c r="P22" s="16"/>
      <c r="Y22" s="52" t="s">
        <v>0</v>
      </c>
    </row>
    <row r="23" spans="2:25" ht="19.5" thickBot="1" x14ac:dyDescent="0.3">
      <c r="B23" s="261" t="s">
        <v>87</v>
      </c>
      <c r="C23" s="136"/>
      <c r="D23" s="136"/>
      <c r="E23" s="136"/>
      <c r="F23" s="136"/>
      <c r="G23" s="136"/>
      <c r="H23" s="136"/>
      <c r="I23" s="137"/>
      <c r="J23" s="393" t="s">
        <v>203</v>
      </c>
      <c r="K23" s="394"/>
      <c r="L23" s="394"/>
      <c r="M23" s="131" t="s">
        <v>21</v>
      </c>
      <c r="N23" s="177">
        <f>IF(C11=R36,C10,0)</f>
        <v>0</v>
      </c>
      <c r="O23" s="21"/>
      <c r="P23" s="16"/>
    </row>
    <row r="24" spans="2:25" ht="19.5" thickBot="1" x14ac:dyDescent="0.3">
      <c r="B24" s="58"/>
      <c r="C24" s="59"/>
      <c r="D24" s="59"/>
      <c r="E24" s="59"/>
      <c r="F24" s="59"/>
      <c r="G24" s="59"/>
      <c r="H24" s="60"/>
      <c r="I24" s="137"/>
      <c r="J24" s="391" t="s">
        <v>177</v>
      </c>
      <c r="K24" s="392"/>
      <c r="L24" s="392"/>
      <c r="M24" s="131" t="s">
        <v>22</v>
      </c>
      <c r="N24" s="178">
        <f>IF(C14&lt;500,2*C10,C10*ROUNDDOWN((C14/500+1),0))</f>
        <v>4</v>
      </c>
      <c r="O24" s="21"/>
      <c r="P24" s="16"/>
    </row>
    <row r="25" spans="2:25" ht="19.5" thickBot="1" x14ac:dyDescent="0.35">
      <c r="B25" s="262" t="s">
        <v>88</v>
      </c>
      <c r="C25" s="205">
        <f>C7+1</f>
        <v>1</v>
      </c>
      <c r="D25" s="89"/>
      <c r="E25" s="89"/>
      <c r="F25" s="89"/>
      <c r="G25" s="89"/>
      <c r="H25" s="63"/>
      <c r="I25" s="137"/>
      <c r="J25" s="391" t="s">
        <v>178</v>
      </c>
      <c r="K25" s="392"/>
      <c r="L25" s="392"/>
      <c r="M25" s="131" t="s">
        <v>23</v>
      </c>
      <c r="N25" s="225">
        <f>C10</f>
        <v>2</v>
      </c>
      <c r="O25" s="21"/>
      <c r="P25" s="16"/>
      <c r="Q25" s="11"/>
      <c r="Y25" s="52" t="s">
        <v>0</v>
      </c>
    </row>
    <row r="26" spans="2:25" ht="18.75" x14ac:dyDescent="0.25">
      <c r="B26" s="65"/>
      <c r="C26" s="66"/>
      <c r="D26" s="66"/>
      <c r="E26" s="66"/>
      <c r="F26" s="66"/>
      <c r="G26" s="66"/>
      <c r="H26" s="67"/>
      <c r="I26" s="16"/>
      <c r="J26" s="315" t="s">
        <v>117</v>
      </c>
      <c r="K26" s="316"/>
      <c r="L26" s="316"/>
      <c r="M26" s="128" t="s">
        <v>9</v>
      </c>
      <c r="N26" s="178">
        <f>M11*2+M12*2+M13*2</f>
        <v>8</v>
      </c>
      <c r="O26" s="21"/>
      <c r="P26" s="16"/>
    </row>
    <row r="27" spans="2:25" ht="18.75" x14ac:dyDescent="0.25">
      <c r="B27" s="65"/>
      <c r="C27" s="66"/>
      <c r="D27" s="66"/>
      <c r="E27" s="66"/>
      <c r="F27" s="66"/>
      <c r="G27" s="66"/>
      <c r="H27" s="67"/>
      <c r="I27" s="16"/>
      <c r="J27" s="398" t="s">
        <v>120</v>
      </c>
      <c r="K27" s="399"/>
      <c r="L27" s="399"/>
      <c r="M27" s="128" t="s">
        <v>10</v>
      </c>
      <c r="N27" s="257">
        <f>ROUNDUP((IF(C29=R10,(E29+F29)*2*G29,0)+IF(C30=R10,(E30+F30)*2*G30,0)+IF(C31=R10,(E31+F31)*2*G31,0)+IF(C32=R10,(E32+F32)*2*G32,0)+IF(C33=R10,(E33+F33)*2*G33,0))/1000,0)</f>
        <v>0</v>
      </c>
      <c r="O27" s="21"/>
      <c r="P27" s="16"/>
    </row>
    <row r="28" spans="2:25" ht="18.75" x14ac:dyDescent="0.25">
      <c r="B28" s="228" t="s">
        <v>89</v>
      </c>
      <c r="C28" s="150" t="s">
        <v>90</v>
      </c>
      <c r="D28" s="229" t="s">
        <v>91</v>
      </c>
      <c r="E28" s="230" t="s">
        <v>92</v>
      </c>
      <c r="F28" s="230" t="s">
        <v>93</v>
      </c>
      <c r="G28" s="230" t="s">
        <v>94</v>
      </c>
      <c r="H28" s="231" t="s">
        <v>95</v>
      </c>
      <c r="I28" s="16"/>
      <c r="J28" s="400" t="s">
        <v>121</v>
      </c>
      <c r="K28" s="401"/>
      <c r="L28" s="401"/>
      <c r="M28" s="128" t="s">
        <v>11</v>
      </c>
      <c r="N28" s="257">
        <f>ROUNDUP((IF(C29=R11,(E29+F29)*2*G29,0)+IF(C30=R11,(E30+F30)*2*G30,0)+IF(C31=R11,(E31+F31)*2*G31,0)+IF(C32=R11,(E32+F32)*2*G32,0)+IF(C33=R11,(E33+F33)*2*G33,0))/1000,0)</f>
        <v>12</v>
      </c>
      <c r="O28" s="21"/>
      <c r="P28" s="16"/>
    </row>
    <row r="29" spans="2:25" ht="18.75" x14ac:dyDescent="0.25">
      <c r="B29" s="259" t="s">
        <v>96</v>
      </c>
      <c r="C29" s="29" t="s">
        <v>151</v>
      </c>
      <c r="D29" s="223">
        <v>0</v>
      </c>
      <c r="E29" s="195">
        <f>K6-IF(E33=0,0,IF(C33=R9,E33,IF(C33=R10,E33+2,E33+3)))-IF(E32=0,0,IF(C32=R9,E32,IF(C32=R10,E32+2,E32+3)))-IF(E31=0,0,IF(C31=R9,E31,IF(C31=R10,E31+2,E31+3)))-IF(E30=0,0,IF(C30=R9,E30,IF(C30=R10,E30+2,E30+3)))-44-IF(C29=R10,2,IF(C29=R11,3,0))-C7*W2</f>
        <v>2533</v>
      </c>
      <c r="F29" s="196">
        <f>IF(C29=$R$11,$K$5-63,IF(C29=$R$10,$K$5-62,$K$5-60))</f>
        <v>427</v>
      </c>
      <c r="G29" s="198">
        <f>$C$10</f>
        <v>2</v>
      </c>
      <c r="H29" s="276">
        <f>E29*F29*D29*G29/1000000</f>
        <v>0</v>
      </c>
      <c r="I29" s="137">
        <f>IF(E29&lt;&gt;0,1,0)</f>
        <v>1</v>
      </c>
      <c r="J29" s="391" t="s">
        <v>123</v>
      </c>
      <c r="K29" s="392"/>
      <c r="L29" s="392"/>
      <c r="M29" s="128" t="s">
        <v>12</v>
      </c>
      <c r="N29" s="178">
        <f>IF(AND(C12=R39,C9=R66),N26,0)</f>
        <v>0</v>
      </c>
      <c r="O29" s="21"/>
      <c r="P29" s="16"/>
    </row>
    <row r="30" spans="2:25" ht="18.75" x14ac:dyDescent="0.25">
      <c r="B30" s="259" t="s">
        <v>97</v>
      </c>
      <c r="C30" s="29" t="s">
        <v>149</v>
      </c>
      <c r="D30" s="223">
        <v>0</v>
      </c>
      <c r="E30" s="197">
        <v>0</v>
      </c>
      <c r="F30" s="196">
        <f>IF(C30=$R$11,$K$5-63,IF(C30=$R$10,$K$5-62,$K$5-60))</f>
        <v>430</v>
      </c>
      <c r="G30" s="198">
        <f>IF(E30&lt;&gt;0,$C$10,0)</f>
        <v>0</v>
      </c>
      <c r="H30" s="276">
        <f t="shared" ref="H30:H33" si="1">E30*F30*D30*G30/1000000</f>
        <v>0</v>
      </c>
      <c r="I30" s="137">
        <f>IF(E30&lt;&gt;0,1,0)</f>
        <v>0</v>
      </c>
      <c r="J30" s="284" t="s">
        <v>124</v>
      </c>
      <c r="K30" s="285"/>
      <c r="L30" s="286"/>
      <c r="M30" s="127" t="s">
        <v>13</v>
      </c>
      <c r="N30" s="180">
        <f>IF(AND(C12=R40,C9=R66),N26,0)</f>
        <v>0</v>
      </c>
      <c r="O30" s="21"/>
      <c r="P30" s="16"/>
    </row>
    <row r="31" spans="2:25" ht="18.75" x14ac:dyDescent="0.25">
      <c r="B31" s="259" t="s">
        <v>98</v>
      </c>
      <c r="C31" s="29" t="s">
        <v>149</v>
      </c>
      <c r="D31" s="223">
        <v>0</v>
      </c>
      <c r="E31" s="197">
        <v>0</v>
      </c>
      <c r="F31" s="196">
        <f>IF(C31=$R$11,$K$5-63,IF(C31=$R$10,$K$5-62,$K$5-60))</f>
        <v>430</v>
      </c>
      <c r="G31" s="198">
        <f>IF(E31&lt;&gt;0,$C$10,0)</f>
        <v>0</v>
      </c>
      <c r="H31" s="276">
        <f t="shared" si="1"/>
        <v>0</v>
      </c>
      <c r="I31" s="137">
        <f>IF(E31&lt;&gt;0,1,0)</f>
        <v>0</v>
      </c>
      <c r="J31" s="384" t="s">
        <v>125</v>
      </c>
      <c r="K31" s="385"/>
      <c r="L31" s="385"/>
      <c r="M31" s="126" t="s">
        <v>14</v>
      </c>
      <c r="N31" s="227">
        <f>IF(C12=R42,ROUNDUP(L10*M10/1000,0),0)</f>
        <v>0</v>
      </c>
      <c r="O31" s="21"/>
      <c r="P31" s="16"/>
      <c r="R31" s="74" t="s">
        <v>205</v>
      </c>
    </row>
    <row r="32" spans="2:25" ht="18.75" x14ac:dyDescent="0.25">
      <c r="B32" s="259" t="s">
        <v>99</v>
      </c>
      <c r="C32" s="29" t="s">
        <v>151</v>
      </c>
      <c r="D32" s="223">
        <v>0</v>
      </c>
      <c r="E32" s="197">
        <v>0</v>
      </c>
      <c r="F32" s="196">
        <f>IF(C32=$R$11,$K$5-63,IF(C32=$R$10,$K$5-62,$K$5-60))</f>
        <v>427</v>
      </c>
      <c r="G32" s="198">
        <f>IF(E32&lt;&gt;0,$C$10,0)</f>
        <v>0</v>
      </c>
      <c r="H32" s="276">
        <f t="shared" si="1"/>
        <v>0</v>
      </c>
      <c r="I32" s="137">
        <f>IF(E32&lt;&gt;0,1,0)</f>
        <v>0</v>
      </c>
      <c r="J32" s="384" t="s">
        <v>153</v>
      </c>
      <c r="K32" s="385"/>
      <c r="L32" s="385"/>
      <c r="M32" s="126" t="s">
        <v>15</v>
      </c>
      <c r="N32" s="227">
        <f>IF(C12=R41,ROUNDUP(L10*M10/1000,0),0)</f>
        <v>11</v>
      </c>
      <c r="O32" s="21"/>
      <c r="P32" s="16"/>
      <c r="R32" s="74" t="s">
        <v>0</v>
      </c>
    </row>
    <row r="33" spans="2:18" ht="19.5" thickBot="1" x14ac:dyDescent="0.3">
      <c r="B33" s="260" t="s">
        <v>100</v>
      </c>
      <c r="C33" s="29" t="s">
        <v>151</v>
      </c>
      <c r="D33" s="223">
        <v>0</v>
      </c>
      <c r="E33" s="197">
        <v>0</v>
      </c>
      <c r="F33" s="196">
        <f>IF(C33=$R$11,$K$5-63,IF(C33=$R$10,$K$5-62,$K$5-60))</f>
        <v>427</v>
      </c>
      <c r="G33" s="198">
        <f>IF(E33&lt;&gt;0,$C$10,0)</f>
        <v>0</v>
      </c>
      <c r="H33" s="278">
        <f t="shared" si="1"/>
        <v>0</v>
      </c>
      <c r="I33" s="137">
        <f>IF(E33&lt;&gt;0,1,0)</f>
        <v>0</v>
      </c>
      <c r="J33" s="384" t="s">
        <v>127</v>
      </c>
      <c r="K33" s="385"/>
      <c r="L33" s="385"/>
      <c r="M33" s="147" t="s">
        <v>16</v>
      </c>
      <c r="N33" s="179">
        <f>IF(N32&gt;0,M10*2,0)</f>
        <v>8</v>
      </c>
      <c r="O33" s="21"/>
      <c r="P33" s="16"/>
    </row>
    <row r="34" spans="2:18" ht="19.5" thickBot="1" x14ac:dyDescent="0.3">
      <c r="B34" s="65"/>
      <c r="C34" s="66"/>
      <c r="D34" s="66"/>
      <c r="E34" s="386" t="s">
        <v>101</v>
      </c>
      <c r="F34" s="386"/>
      <c r="G34" s="387"/>
      <c r="H34" s="277">
        <f>SUM(H29:H33)</f>
        <v>0</v>
      </c>
      <c r="I34" s="16"/>
      <c r="J34" s="402" t="s">
        <v>200</v>
      </c>
      <c r="K34" s="403"/>
      <c r="L34" s="403"/>
      <c r="M34" s="128" t="s">
        <v>24</v>
      </c>
      <c r="N34" s="179">
        <f>IF(C15=R53,C10,0)</f>
        <v>0</v>
      </c>
      <c r="O34" s="21"/>
      <c r="P34" s="16"/>
      <c r="R34" s="52" t="s">
        <v>185</v>
      </c>
    </row>
    <row r="35" spans="2:18" ht="18.75" x14ac:dyDescent="0.25">
      <c r="B35" s="65"/>
      <c r="C35" s="374" t="str">
        <f>IF((SUM(I29:I33)/C25)&lt;&gt;1,R45,R46)</f>
        <v>Correct insert heights</v>
      </c>
      <c r="D35" s="374"/>
      <c r="E35" s="132">
        <f>IF(C35=R46,1,0)</f>
        <v>1</v>
      </c>
      <c r="F35" s="132"/>
      <c r="G35" s="132"/>
      <c r="H35" s="67"/>
      <c r="I35" s="16"/>
      <c r="J35" s="404" t="s">
        <v>204</v>
      </c>
      <c r="K35" s="405"/>
      <c r="L35" s="405"/>
      <c r="M35" s="128" t="s">
        <v>48</v>
      </c>
      <c r="N35" s="179">
        <f>IF(C9=R67,C10,0)</f>
        <v>0</v>
      </c>
      <c r="O35" s="21"/>
      <c r="P35" s="16"/>
      <c r="R35" s="52" t="s">
        <v>202</v>
      </c>
    </row>
    <row r="36" spans="2:18" ht="19.5" thickBot="1" x14ac:dyDescent="0.3">
      <c r="B36" s="65"/>
      <c r="C36" s="66"/>
      <c r="D36" s="66"/>
      <c r="E36" s="66"/>
      <c r="F36" s="66"/>
      <c r="G36" s="66"/>
      <c r="H36" s="67"/>
      <c r="I36" s="16"/>
      <c r="J36" s="395" t="s">
        <v>199</v>
      </c>
      <c r="K36" s="396"/>
      <c r="L36" s="397"/>
      <c r="M36" s="41" t="s">
        <v>25</v>
      </c>
      <c r="N36" s="256">
        <f>C13</f>
        <v>0</v>
      </c>
      <c r="O36" s="21"/>
      <c r="P36" s="16"/>
      <c r="R36" s="52" t="s">
        <v>203</v>
      </c>
    </row>
    <row r="37" spans="2:18" ht="18.75" x14ac:dyDescent="0.25">
      <c r="B37" s="65"/>
      <c r="C37" s="77"/>
      <c r="D37" s="77"/>
      <c r="E37" s="78"/>
      <c r="F37" s="78"/>
      <c r="G37" s="78"/>
      <c r="H37" s="67"/>
      <c r="I37" s="16"/>
      <c r="J37" s="99"/>
      <c r="K37" s="91"/>
      <c r="L37" s="314"/>
      <c r="M37" s="314"/>
      <c r="N37" s="314"/>
      <c r="O37" s="21"/>
      <c r="P37" s="16"/>
    </row>
    <row r="38" spans="2:18" ht="18.75" x14ac:dyDescent="0.25">
      <c r="B38" s="65"/>
      <c r="C38" s="66"/>
      <c r="D38" s="66"/>
      <c r="E38" s="66"/>
      <c r="F38" s="66"/>
      <c r="G38" s="66"/>
      <c r="H38" s="21"/>
      <c r="I38" s="16"/>
      <c r="J38" s="99"/>
      <c r="K38" s="16"/>
      <c r="L38" s="16"/>
      <c r="M38" s="16"/>
      <c r="N38" s="16"/>
      <c r="O38" s="21"/>
      <c r="P38" s="16"/>
    </row>
    <row r="39" spans="2:18" ht="18.75" x14ac:dyDescent="0.25">
      <c r="B39" s="65"/>
      <c r="C39" s="375" t="str">
        <f>IF(AND(SUM(I29:I33)/C25=1,E33=0,C25&lt;&gt;1),R49,R50)</f>
        <v xml:space="preserve"> </v>
      </c>
      <c r="D39" s="375"/>
      <c r="E39" s="78"/>
      <c r="F39" s="78"/>
      <c r="G39" s="78"/>
      <c r="H39" s="21"/>
      <c r="I39" s="16"/>
      <c r="J39" s="99"/>
      <c r="K39" s="16"/>
      <c r="L39" s="16"/>
      <c r="M39" s="16"/>
      <c r="N39" s="16"/>
      <c r="O39" s="21"/>
      <c r="P39" s="16"/>
      <c r="R39" s="182" t="s">
        <v>123</v>
      </c>
    </row>
    <row r="40" spans="2:18" ht="18.75" x14ac:dyDescent="0.25">
      <c r="B40" s="65"/>
      <c r="C40" s="66"/>
      <c r="D40" s="66"/>
      <c r="E40" s="66"/>
      <c r="F40" s="66"/>
      <c r="G40" s="66"/>
      <c r="H40" s="21"/>
      <c r="I40" s="16"/>
      <c r="J40" s="99"/>
      <c r="K40" s="16"/>
      <c r="L40" s="16"/>
      <c r="M40" s="16"/>
      <c r="N40" s="16"/>
      <c r="O40" s="21"/>
      <c r="P40" s="16"/>
      <c r="R40" s="238" t="s">
        <v>124</v>
      </c>
    </row>
    <row r="41" spans="2:18" ht="18.75" x14ac:dyDescent="0.25">
      <c r="B41" s="65"/>
      <c r="C41" s="66"/>
      <c r="D41" s="66"/>
      <c r="E41" s="66"/>
      <c r="F41" s="66"/>
      <c r="G41" s="66"/>
      <c r="H41" s="21"/>
      <c r="I41" s="16"/>
      <c r="J41" s="99"/>
      <c r="K41" s="16"/>
      <c r="L41" s="16"/>
      <c r="M41" s="16"/>
      <c r="N41" s="16"/>
      <c r="O41" s="21"/>
      <c r="P41" s="16"/>
      <c r="Q41" s="16"/>
      <c r="R41" s="238" t="s">
        <v>153</v>
      </c>
    </row>
    <row r="42" spans="2:18" ht="18.75" x14ac:dyDescent="0.3">
      <c r="B42" s="79"/>
      <c r="C42" s="80"/>
      <c r="D42" s="132"/>
      <c r="E42" s="132"/>
      <c r="F42" s="132"/>
      <c r="G42" s="132"/>
      <c r="H42" s="21"/>
      <c r="I42" s="16"/>
      <c r="J42" s="99"/>
      <c r="K42" s="16"/>
      <c r="L42" s="16" t="s">
        <v>0</v>
      </c>
      <c r="M42" s="16"/>
      <c r="N42" s="16"/>
      <c r="O42" s="21"/>
      <c r="P42" s="16"/>
      <c r="Q42" s="16"/>
      <c r="R42" s="182" t="s">
        <v>125</v>
      </c>
    </row>
    <row r="43" spans="2:18" x14ac:dyDescent="0.25">
      <c r="B43" s="22"/>
      <c r="C43" s="17"/>
      <c r="D43" s="17"/>
      <c r="E43" s="17"/>
      <c r="F43" s="17"/>
      <c r="G43" s="17"/>
      <c r="H43" s="23"/>
      <c r="I43" s="16"/>
      <c r="J43" s="99"/>
      <c r="K43" s="16"/>
      <c r="L43" s="16"/>
      <c r="M43" s="16"/>
      <c r="N43" s="16"/>
      <c r="O43" s="21"/>
    </row>
    <row r="44" spans="2:18" ht="18.75" x14ac:dyDescent="0.3">
      <c r="B44" s="79"/>
      <c r="C44" s="80"/>
      <c r="D44" s="132"/>
      <c r="E44" s="132"/>
      <c r="F44" s="132"/>
      <c r="G44" s="132"/>
      <c r="H44" s="63"/>
      <c r="I44" s="16"/>
      <c r="J44" s="99"/>
      <c r="K44" s="16"/>
      <c r="L44" s="16"/>
      <c r="M44" s="16"/>
      <c r="N44" s="16"/>
      <c r="O44" s="21"/>
    </row>
    <row r="45" spans="2:18" ht="19.5" thickBot="1" x14ac:dyDescent="0.35">
      <c r="B45" s="84"/>
      <c r="C45" s="85"/>
      <c r="D45" s="86"/>
      <c r="E45" s="86"/>
      <c r="F45" s="86"/>
      <c r="G45" s="86"/>
      <c r="H45" s="87"/>
      <c r="I45" s="138"/>
      <c r="J45" s="104"/>
      <c r="K45" s="373"/>
      <c r="L45" s="373"/>
      <c r="M45" s="373"/>
      <c r="N45" s="373"/>
      <c r="O45" s="139"/>
      <c r="R45" s="187" t="s">
        <v>154</v>
      </c>
    </row>
    <row r="46" spans="2:18" ht="18.75" x14ac:dyDescent="0.25">
      <c r="R46" s="187" t="s">
        <v>155</v>
      </c>
    </row>
    <row r="49" spans="17:18" ht="18.75" x14ac:dyDescent="0.3">
      <c r="R49" s="83" t="s">
        <v>206</v>
      </c>
    </row>
    <row r="50" spans="17:18" x14ac:dyDescent="0.25">
      <c r="R50" s="11" t="s">
        <v>0</v>
      </c>
    </row>
    <row r="52" spans="17:18" x14ac:dyDescent="0.25">
      <c r="Q52" s="43" t="str">
        <f>'Top Hung'!R52</f>
        <v>Серебро матовое</v>
      </c>
    </row>
    <row r="53" spans="17:18" x14ac:dyDescent="0.25">
      <c r="Q53" s="43" t="str">
        <f>'Top Hung'!R53</f>
        <v>Черный матовый</v>
      </c>
      <c r="R53" s="52" t="s">
        <v>147</v>
      </c>
    </row>
    <row r="54" spans="17:18" x14ac:dyDescent="0.25">
      <c r="Q54" s="43" t="str">
        <f>'Top Hung'!R54</f>
        <v>Слоновая кость</v>
      </c>
      <c r="R54" s="52" t="s">
        <v>148</v>
      </c>
    </row>
    <row r="55" spans="17:18" x14ac:dyDescent="0.25">
      <c r="Q55" s="43" t="str">
        <f>'Top Hung'!R55</f>
        <v>Белый матовый</v>
      </c>
    </row>
    <row r="56" spans="17:18" x14ac:dyDescent="0.25">
      <c r="Q56" s="43" t="str">
        <f>'Top Hung'!R56</f>
        <v xml:space="preserve">Венге темный </v>
      </c>
    </row>
    <row r="57" spans="17:18" x14ac:dyDescent="0.25">
      <c r="Q57" s="43" t="str">
        <f>'Top Hung'!R57</f>
        <v>Дуб белый</v>
      </c>
    </row>
    <row r="58" spans="17:18" x14ac:dyDescent="0.25">
      <c r="Q58" s="43" t="str">
        <f>'Top Hung'!R58</f>
        <v xml:space="preserve"> медь античная*</v>
      </c>
      <c r="R58" s="189" t="s">
        <v>207</v>
      </c>
    </row>
    <row r="59" spans="17:18" x14ac:dyDescent="0.25">
      <c r="Q59" s="43" t="str">
        <f>'Top Hung'!R59</f>
        <v>сталь воронёная*</v>
      </c>
      <c r="R59" s="189" t="s">
        <v>144</v>
      </c>
    </row>
    <row r="60" spans="17:18" x14ac:dyDescent="0.25">
      <c r="Q60" s="43"/>
    </row>
    <row r="61" spans="17:18" x14ac:dyDescent="0.25">
      <c r="Q61" s="43"/>
    </row>
    <row r="62" spans="17:18" x14ac:dyDescent="0.25">
      <c r="Q62" s="43"/>
      <c r="R62" s="182" t="s">
        <v>143</v>
      </c>
    </row>
    <row r="63" spans="17:18" x14ac:dyDescent="0.25">
      <c r="R63" s="189" t="s">
        <v>144</v>
      </c>
    </row>
    <row r="66" spans="18:18" x14ac:dyDescent="0.25">
      <c r="R66" s="52" t="s">
        <v>201</v>
      </c>
    </row>
    <row r="67" spans="18:18" x14ac:dyDescent="0.25">
      <c r="R67" s="52" t="s">
        <v>204</v>
      </c>
    </row>
  </sheetData>
  <sheetProtection algorithmName="SHA-512" hashValue="mHR3roenVum+Q1vHLj+zjsfy7l15xkPPQPxH+Up0L1lUQO89luSy9+/090yQNFEieRCCRrleFmiVpbPqeMZQfQ==" saltValue="BsdsRPYLK7br6ljV8nVUng==" spinCount="100000" sheet="1" selectLockedCells="1"/>
  <mergeCells count="45">
    <mergeCell ref="B1:O1"/>
    <mergeCell ref="B2:H2"/>
    <mergeCell ref="B3:C3"/>
    <mergeCell ref="D6:H6"/>
    <mergeCell ref="D7:H7"/>
    <mergeCell ref="J2:O2"/>
    <mergeCell ref="D10:H10"/>
    <mergeCell ref="J18:L18"/>
    <mergeCell ref="J3:K3"/>
    <mergeCell ref="J8:M8"/>
    <mergeCell ref="D4:H4"/>
    <mergeCell ref="D11:H11"/>
    <mergeCell ref="D5:H5"/>
    <mergeCell ref="J15:O15"/>
    <mergeCell ref="D9:H9"/>
    <mergeCell ref="D8:H8"/>
    <mergeCell ref="L37:N37"/>
    <mergeCell ref="J34:L34"/>
    <mergeCell ref="J24:L24"/>
    <mergeCell ref="J35:L35"/>
    <mergeCell ref="K45:N45"/>
    <mergeCell ref="J23:L23"/>
    <mergeCell ref="J33:L33"/>
    <mergeCell ref="J36:L36"/>
    <mergeCell ref="J26:L26"/>
    <mergeCell ref="J29:L29"/>
    <mergeCell ref="J27:L27"/>
    <mergeCell ref="J28:L28"/>
    <mergeCell ref="J25:L25"/>
    <mergeCell ref="C39:D39"/>
    <mergeCell ref="D14:H14"/>
    <mergeCell ref="D12:H12"/>
    <mergeCell ref="D13:H13"/>
    <mergeCell ref="J30:L30"/>
    <mergeCell ref="J31:L31"/>
    <mergeCell ref="J32:L32"/>
    <mergeCell ref="C35:D35"/>
    <mergeCell ref="E34:G34"/>
    <mergeCell ref="B18:H18"/>
    <mergeCell ref="B19:H21"/>
    <mergeCell ref="D15:H15"/>
    <mergeCell ref="J19:L19"/>
    <mergeCell ref="J20:L20"/>
    <mergeCell ref="J21:L21"/>
    <mergeCell ref="J22:L22"/>
  </mergeCells>
  <conditionalFormatting sqref="D5">
    <cfRule type="cellIs" dxfId="60" priority="69" operator="equal">
      <formula>$R$58</formula>
    </cfRule>
  </conditionalFormatting>
  <conditionalFormatting sqref="K5:K6 L10:N10 L11:M14 O14 N20:N21 N24:N26 N29:N36">
    <cfRule type="expression" dxfId="59" priority="12">
      <formula>$C$5=0</formula>
    </cfRule>
  </conditionalFormatting>
  <conditionalFormatting sqref="N27:N28">
    <cfRule type="expression" dxfId="58" priority="63">
      <formula>$C$5=0</formula>
    </cfRule>
  </conditionalFormatting>
  <conditionalFormatting sqref="D5:H6 D9:H14">
    <cfRule type="expression" dxfId="57" priority="62">
      <formula>$C5=0</formula>
    </cfRule>
  </conditionalFormatting>
  <conditionalFormatting sqref="O10">
    <cfRule type="expression" dxfId="56" priority="60">
      <formula>$C$5=0</formula>
    </cfRule>
  </conditionalFormatting>
  <conditionalFormatting sqref="O11:O13">
    <cfRule type="expression" dxfId="55" priority="59">
      <formula>$C$5=0</formula>
    </cfRule>
  </conditionalFormatting>
  <conditionalFormatting sqref="O45">
    <cfRule type="expression" dxfId="54" priority="56">
      <formula>$C$5=0</formula>
    </cfRule>
  </conditionalFormatting>
  <conditionalFormatting sqref="N11:N14">
    <cfRule type="expression" dxfId="53" priority="51">
      <formula>$C$5=0</formula>
    </cfRule>
  </conditionalFormatting>
  <conditionalFormatting sqref="D12:H12">
    <cfRule type="expression" dxfId="52" priority="37">
      <formula>$C$5=0</formula>
    </cfRule>
  </conditionalFormatting>
  <conditionalFormatting sqref="C13">
    <cfRule type="cellIs" dxfId="51" priority="36" operator="greaterThan">
      <formula>0</formula>
    </cfRule>
  </conditionalFormatting>
  <conditionalFormatting sqref="D13:H13">
    <cfRule type="expression" dxfId="50" priority="35">
      <formula>$C$5=0</formula>
    </cfRule>
  </conditionalFormatting>
  <conditionalFormatting sqref="N32">
    <cfRule type="expression" dxfId="49" priority="34">
      <formula>$C$4=0</formula>
    </cfRule>
  </conditionalFormatting>
  <conditionalFormatting sqref="N31">
    <cfRule type="expression" dxfId="48" priority="33">
      <formula>$C$4=0</formula>
    </cfRule>
  </conditionalFormatting>
  <conditionalFormatting sqref="N33">
    <cfRule type="expression" dxfId="47" priority="32">
      <formula>$C$4=0</formula>
    </cfRule>
  </conditionalFormatting>
  <conditionalFormatting sqref="N36">
    <cfRule type="expression" dxfId="46" priority="31">
      <formula>$C$4=0</formula>
    </cfRule>
  </conditionalFormatting>
  <conditionalFormatting sqref="C14">
    <cfRule type="cellIs" dxfId="45" priority="29" operator="greaterThan">
      <formula>0</formula>
    </cfRule>
  </conditionalFormatting>
  <conditionalFormatting sqref="D14:H14">
    <cfRule type="expression" dxfId="44" priority="28">
      <formula>$C$5=0</formula>
    </cfRule>
  </conditionalFormatting>
  <conditionalFormatting sqref="D11:H11">
    <cfRule type="expression" dxfId="43" priority="22">
      <formula>$C$5=0</formula>
    </cfRule>
  </conditionalFormatting>
  <conditionalFormatting sqref="E29 H34 F29:H33 N22:N23">
    <cfRule type="expression" dxfId="42" priority="21">
      <formula>$C$5=0</formula>
    </cfRule>
  </conditionalFormatting>
  <conditionalFormatting sqref="C15">
    <cfRule type="cellIs" dxfId="41" priority="20" operator="greaterThan">
      <formula>0</formula>
    </cfRule>
  </conditionalFormatting>
  <conditionalFormatting sqref="D15:H15">
    <cfRule type="expression" dxfId="40" priority="17">
      <formula>$C$6=0</formula>
    </cfRule>
  </conditionalFormatting>
  <conditionalFormatting sqref="N34">
    <cfRule type="expression" dxfId="39" priority="15">
      <formula>$C$4=0</formula>
    </cfRule>
  </conditionalFormatting>
  <conditionalFormatting sqref="D15:H15">
    <cfRule type="expression" dxfId="38" priority="152">
      <formula>#REF!="нет"</formula>
    </cfRule>
    <cfRule type="expression" dxfId="37" priority="153">
      <formula>#REF!="невозможно установить, ширина двери должна быть не менее 650 мм"</formula>
    </cfRule>
  </conditionalFormatting>
  <conditionalFormatting sqref="K6">
    <cfRule type="expression" dxfId="36" priority="23">
      <formula>$K$6&gt;3200</formula>
    </cfRule>
  </conditionalFormatting>
  <conditionalFormatting sqref="N35">
    <cfRule type="expression" dxfId="35" priority="10">
      <formula>$C$4=0</formula>
    </cfRule>
  </conditionalFormatting>
  <conditionalFormatting sqref="C8">
    <cfRule type="cellIs" dxfId="34" priority="5" operator="greaterThan">
      <formula>0</formula>
    </cfRule>
  </conditionalFormatting>
  <conditionalFormatting sqref="D8:H8">
    <cfRule type="expression" dxfId="33" priority="4">
      <formula>$C$6=0</formula>
    </cfRule>
  </conditionalFormatting>
  <conditionalFormatting sqref="C39">
    <cfRule type="expression" dxfId="32" priority="212">
      <formula>$C$39=$R$49</formula>
    </cfRule>
  </conditionalFormatting>
  <conditionalFormatting sqref="C35">
    <cfRule type="expression" dxfId="31" priority="213">
      <formula>$C$35=$R$46</formula>
    </cfRule>
  </conditionalFormatting>
  <conditionalFormatting sqref="C35:D35">
    <cfRule type="expression" dxfId="30" priority="216">
      <formula>$C$35=$R$45</formula>
    </cfRule>
  </conditionalFormatting>
  <conditionalFormatting sqref="D6:H6">
    <cfRule type="expression" dxfId="29" priority="217">
      <formula>$D$6=$R$62</formula>
    </cfRule>
  </conditionalFormatting>
  <conditionalFormatting sqref="D7:H7">
    <cfRule type="expression" dxfId="28" priority="3">
      <formula>$C$6=0</formula>
    </cfRule>
  </conditionalFormatting>
  <conditionalFormatting sqref="D10:H10">
    <cfRule type="expression" dxfId="27" priority="2">
      <formula>$C$5=0</formula>
    </cfRule>
  </conditionalFormatting>
  <conditionalFormatting sqref="C12">
    <cfRule type="expression" dxfId="26" priority="244">
      <formula>AND($C$9=$R$67,OR($C$12=$R$39,$C$12=$R$40))</formula>
    </cfRule>
    <cfRule type="cellIs" dxfId="25" priority="245" operator="greaterThan">
      <formula>0</formula>
    </cfRule>
  </conditionalFormatting>
  <conditionalFormatting sqref="K5">
    <cfRule type="expression" dxfId="24" priority="246">
      <formula>$C$10=0</formula>
    </cfRule>
    <cfRule type="expression" dxfId="23" priority="247">
      <formula>AND(OR($K$5&lt;200,$K$5&gt;700),$C$5&gt;0)</formula>
    </cfRule>
  </conditionalFormatting>
  <dataValidations count="10">
    <dataValidation type="list" allowBlank="1" showInputMessage="1" showErrorMessage="1" sqref="C10" xr:uid="{00000000-0002-0000-0300-000000000000}">
      <formula1>$R$5:$R$6</formula1>
    </dataValidation>
    <dataValidation type="list" allowBlank="1" showInputMessage="1" showErrorMessage="1" sqref="C11" xr:uid="{00000000-0002-0000-0300-000001000000}">
      <formula1>$R$34:$R$36</formula1>
    </dataValidation>
    <dataValidation type="list" allowBlank="1" showInputMessage="1" showErrorMessage="1" sqref="C7" xr:uid="{00000000-0002-0000-0300-000002000000}">
      <formula1>$R$16:$R$20</formula1>
    </dataValidation>
    <dataValidation type="list" allowBlank="1" showInputMessage="1" showErrorMessage="1" sqref="C12" xr:uid="{00000000-0002-0000-0300-000003000000}">
      <formula1>$R$39:$R$42</formula1>
    </dataValidation>
    <dataValidation type="whole" allowBlank="1" showInputMessage="1" showErrorMessage="1" sqref="C13" xr:uid="{00000000-0002-0000-0300-000004000000}">
      <formula1>0</formula1>
      <formula2>20</formula2>
    </dataValidation>
    <dataValidation type="list" allowBlank="1" showInputMessage="1" showErrorMessage="1" sqref="C29:C33" xr:uid="{00000000-0002-0000-0300-000005000000}">
      <formula1>$R$9:$R$11</formula1>
    </dataValidation>
    <dataValidation type="whole" allowBlank="1" showInputMessage="1" showErrorMessage="1" sqref="C14" xr:uid="{00000000-0002-0000-0300-000006000000}">
      <formula1>150</formula1>
      <formula2>K6</formula2>
    </dataValidation>
    <dataValidation type="list" allowBlank="1" showInputMessage="1" showErrorMessage="1" sqref="C15" xr:uid="{00000000-0002-0000-0300-000007000000}">
      <formula1>$R$53:$R$54</formula1>
    </dataValidation>
    <dataValidation type="list" allowBlank="1" showInputMessage="1" showErrorMessage="1" sqref="C9" xr:uid="{00000000-0002-0000-0300-000008000000}">
      <formula1>$R$66:$R$67</formula1>
    </dataValidation>
    <dataValidation type="list" allowBlank="1" showInputMessage="1" showErrorMessage="1" sqref="C8" xr:uid="{00000000-0002-0000-0300-000009000000}">
      <formula1>$U$2:$U$3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2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E35:G35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1"/>
    <pageSetUpPr fitToPage="1"/>
  </sheetPr>
  <dimension ref="B1:W62"/>
  <sheetViews>
    <sheetView tabSelected="1" zoomScale="55" zoomScaleNormal="55" workbookViewId="0">
      <selection activeCell="C5" sqref="C5"/>
    </sheetView>
  </sheetViews>
  <sheetFormatPr defaultColWidth="8.85546875" defaultRowHeight="15" x14ac:dyDescent="0.25"/>
  <cols>
    <col min="1" max="1" width="1" style="52" customWidth="1"/>
    <col min="2" max="2" width="44.42578125" style="52" customWidth="1"/>
    <col min="3" max="3" width="40.28515625" style="52" customWidth="1"/>
    <col min="4" max="4" width="19.5703125" style="52" customWidth="1"/>
    <col min="5" max="8" width="14.7109375" style="52" customWidth="1"/>
    <col min="9" max="9" width="1.7109375" style="52" customWidth="1"/>
    <col min="10" max="10" width="25" style="52" customWidth="1"/>
    <col min="11" max="11" width="16.140625" style="52" customWidth="1"/>
    <col min="12" max="12" width="12.85546875" style="52" customWidth="1"/>
    <col min="13" max="13" width="16.85546875" style="52" customWidth="1"/>
    <col min="14" max="14" width="15.42578125" style="52" customWidth="1"/>
    <col min="15" max="15" width="16.7109375" style="52" customWidth="1"/>
    <col min="16" max="16" width="31.42578125" style="52" hidden="1" customWidth="1"/>
    <col min="17" max="17" width="27.28515625" style="52" hidden="1" customWidth="1"/>
    <col min="18" max="19" width="8.85546875" style="52" hidden="1" customWidth="1"/>
    <col min="20" max="20" width="25.5703125" style="52" hidden="1" customWidth="1"/>
    <col min="21" max="21" width="14.28515625" style="52" hidden="1" customWidth="1"/>
    <col min="22" max="22" width="8.85546875" style="52" hidden="1" customWidth="1"/>
    <col min="23" max="24" width="8.85546875" style="52" customWidth="1"/>
    <col min="25" max="16384" width="8.85546875" style="52"/>
  </cols>
  <sheetData>
    <row r="1" spans="2:23" ht="19.5" thickBot="1" x14ac:dyDescent="0.3">
      <c r="B1" s="426" t="s">
        <v>213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8"/>
      <c r="P1" s="94"/>
    </row>
    <row r="2" spans="2:23" s="12" customFormat="1" ht="21" x14ac:dyDescent="0.25">
      <c r="B2" s="429" t="s">
        <v>61</v>
      </c>
      <c r="C2" s="430"/>
      <c r="D2" s="430"/>
      <c r="E2" s="430"/>
      <c r="F2" s="430"/>
      <c r="G2" s="430"/>
      <c r="H2" s="431"/>
      <c r="I2" s="105"/>
      <c r="J2" s="423" t="s">
        <v>62</v>
      </c>
      <c r="K2" s="424"/>
      <c r="L2" s="424"/>
      <c r="M2" s="424"/>
      <c r="N2" s="424"/>
      <c r="O2" s="425"/>
      <c r="P2" s="45"/>
      <c r="Q2" s="105"/>
      <c r="R2" s="105"/>
      <c r="S2" s="105"/>
      <c r="T2" s="11" t="s">
        <v>221</v>
      </c>
      <c r="U2" s="11" t="s">
        <v>49</v>
      </c>
      <c r="V2" s="105">
        <f>IF(C8=T2,9,8)</f>
        <v>8</v>
      </c>
      <c r="W2" s="105"/>
    </row>
    <row r="3" spans="2:23" ht="15.75" x14ac:dyDescent="0.25">
      <c r="B3" s="332" t="s">
        <v>170</v>
      </c>
      <c r="C3" s="333"/>
      <c r="D3" s="16"/>
      <c r="E3" s="16"/>
      <c r="F3" s="16"/>
      <c r="G3" s="16"/>
      <c r="H3" s="21"/>
      <c r="I3" s="16"/>
      <c r="J3" s="432" t="s">
        <v>67</v>
      </c>
      <c r="K3" s="433"/>
      <c r="L3" s="16"/>
      <c r="M3" s="16"/>
      <c r="N3" s="16"/>
      <c r="O3" s="21"/>
      <c r="P3" s="16"/>
      <c r="Q3" s="16"/>
      <c r="R3" s="16"/>
      <c r="S3" s="16"/>
      <c r="T3" s="11" t="s">
        <v>158</v>
      </c>
      <c r="U3" s="11" t="s">
        <v>4</v>
      </c>
      <c r="V3" s="16"/>
      <c r="W3" s="16"/>
    </row>
    <row r="4" spans="2:23" ht="18.75" x14ac:dyDescent="0.25">
      <c r="B4" s="106" t="s">
        <v>82</v>
      </c>
      <c r="C4" s="153" t="s">
        <v>83</v>
      </c>
      <c r="D4" s="439" t="s">
        <v>84</v>
      </c>
      <c r="E4" s="440"/>
      <c r="F4" s="440"/>
      <c r="G4" s="440"/>
      <c r="H4" s="441"/>
      <c r="I4" s="16"/>
      <c r="J4" s="39" t="s">
        <v>63</v>
      </c>
      <c r="K4" s="149" t="s">
        <v>66</v>
      </c>
      <c r="L4" s="16"/>
      <c r="M4" s="16"/>
      <c r="N4" s="16"/>
      <c r="O4" s="21"/>
      <c r="P4" s="16"/>
      <c r="Q4" s="16"/>
      <c r="R4" s="16"/>
      <c r="S4" s="16"/>
      <c r="V4" s="16"/>
      <c r="W4" s="16"/>
    </row>
    <row r="5" spans="2:23" ht="18.75" x14ac:dyDescent="0.25">
      <c r="B5" s="33" t="s">
        <v>68</v>
      </c>
      <c r="C5" s="264">
        <v>2500</v>
      </c>
      <c r="D5" s="411" t="str">
        <f>IF(OR(K5&lt;200,K5&gt;1200),Q46,Q47)</f>
        <v>permissible</v>
      </c>
      <c r="E5" s="412"/>
      <c r="F5" s="412"/>
      <c r="G5" s="412"/>
      <c r="H5" s="413"/>
      <c r="I5" s="16"/>
      <c r="J5" s="97" t="s">
        <v>64</v>
      </c>
      <c r="K5" s="258">
        <f>ROUNDDOWN(IF(AND(C9=Q18,OR(C11=Q38,C11=Q39)),(C5+39+39)/4,
IF(AND(C9=Q18,OR(C11=Q40,C11=Q41)),(C5-10+39+39)/4,
IF(AND(OR(C9=Q16,C9=Q17,C9=Q19),C11=Q38),C5/C10,
IF(AND(OR(C9=Q16,C9=Q17,C9=Q19),C11=Q39),(C5-2)/C10,
IF(AND(OR(C9=Q16,C9=Q17,C9=Q19),OR(C11=Q40,C11=Q41)),(C5-10)/C10))))),0)</f>
        <v>830</v>
      </c>
      <c r="L5" s="16"/>
      <c r="M5" s="16"/>
      <c r="N5" s="16"/>
      <c r="O5" s="21"/>
      <c r="P5" s="16"/>
      <c r="Q5" s="16"/>
      <c r="R5" s="16"/>
      <c r="S5" s="16"/>
      <c r="T5" s="16"/>
      <c r="U5" s="16"/>
      <c r="V5" s="16"/>
      <c r="W5" s="16"/>
    </row>
    <row r="6" spans="2:23" ht="18.75" x14ac:dyDescent="0.25">
      <c r="B6" s="33" t="s">
        <v>69</v>
      </c>
      <c r="C6" s="264">
        <v>2600</v>
      </c>
      <c r="D6" s="411" t="str">
        <f>IF(K6&gt;3200,Q50,Q51)</f>
        <v>permissible</v>
      </c>
      <c r="E6" s="412"/>
      <c r="F6" s="412"/>
      <c r="G6" s="412"/>
      <c r="H6" s="413"/>
      <c r="I6" s="16"/>
      <c r="J6" s="97" t="s">
        <v>65</v>
      </c>
      <c r="K6" s="258">
        <f>IF(OR(C9=Q16,C9=Q17,C9=Q18),C6-45,C6-85)</f>
        <v>2515</v>
      </c>
      <c r="L6" s="16"/>
      <c r="M6" s="16"/>
      <c r="N6" s="16"/>
      <c r="O6" s="21"/>
      <c r="P6" s="16"/>
      <c r="Q6" s="16"/>
      <c r="R6" s="16"/>
      <c r="S6" s="16"/>
      <c r="T6" s="16"/>
      <c r="U6" s="16"/>
      <c r="V6" s="16"/>
      <c r="W6" s="16"/>
    </row>
    <row r="7" spans="2:23" ht="18.75" x14ac:dyDescent="0.25">
      <c r="B7" s="33" t="s">
        <v>70</v>
      </c>
      <c r="C7" s="273">
        <v>0</v>
      </c>
      <c r="D7" s="301" t="s">
        <v>169</v>
      </c>
      <c r="E7" s="298"/>
      <c r="F7" s="298"/>
      <c r="G7" s="298"/>
      <c r="H7" s="302"/>
      <c r="I7" s="16"/>
      <c r="J7" s="99"/>
      <c r="K7" s="16"/>
      <c r="L7" s="16"/>
      <c r="M7" s="16"/>
      <c r="N7" s="16"/>
      <c r="O7" s="21"/>
      <c r="P7" s="16"/>
      <c r="Q7" s="107"/>
      <c r="R7" s="16"/>
      <c r="S7" s="16"/>
      <c r="T7" s="16"/>
      <c r="U7" s="16"/>
      <c r="V7" s="16"/>
      <c r="W7" s="16"/>
    </row>
    <row r="8" spans="2:23" ht="19.5" customHeight="1" x14ac:dyDescent="0.25">
      <c r="B8" s="33" t="s">
        <v>71</v>
      </c>
      <c r="C8" s="20" t="s">
        <v>158</v>
      </c>
      <c r="D8" s="301"/>
      <c r="E8" s="298"/>
      <c r="F8" s="298"/>
      <c r="G8" s="298"/>
      <c r="H8" s="302"/>
      <c r="I8" s="16"/>
      <c r="J8" s="332" t="s">
        <v>163</v>
      </c>
      <c r="K8" s="333"/>
      <c r="L8" s="333"/>
      <c r="M8" s="333"/>
      <c r="N8" s="130"/>
      <c r="O8" s="135"/>
      <c r="P8" s="16"/>
      <c r="Q8" s="96"/>
      <c r="T8" s="19"/>
    </row>
    <row r="9" spans="2:23" ht="35.1" customHeight="1" x14ac:dyDescent="0.25">
      <c r="B9" s="34" t="s">
        <v>72</v>
      </c>
      <c r="C9" s="42" t="s">
        <v>220</v>
      </c>
      <c r="D9" s="411"/>
      <c r="E9" s="412"/>
      <c r="F9" s="412"/>
      <c r="G9" s="412"/>
      <c r="H9" s="413"/>
      <c r="I9" s="16"/>
      <c r="J9" s="268" t="s">
        <v>159</v>
      </c>
      <c r="K9" s="269" t="s">
        <v>108</v>
      </c>
      <c r="L9" s="270" t="s">
        <v>160</v>
      </c>
      <c r="M9" s="270" t="s">
        <v>94</v>
      </c>
      <c r="N9" s="108" t="s">
        <v>161</v>
      </c>
      <c r="O9" s="50" t="s">
        <v>162</v>
      </c>
      <c r="P9" s="16"/>
      <c r="T9" s="109"/>
    </row>
    <row r="10" spans="2:23" ht="35.1" customHeight="1" x14ac:dyDescent="0.25">
      <c r="B10" s="49" t="s">
        <v>73</v>
      </c>
      <c r="C10" s="273">
        <v>3</v>
      </c>
      <c r="D10" s="434" t="s">
        <v>214</v>
      </c>
      <c r="E10" s="435"/>
      <c r="F10" s="435"/>
      <c r="G10" s="435"/>
      <c r="H10" s="436"/>
      <c r="I10" s="16"/>
      <c r="J10" s="152" t="s">
        <v>102</v>
      </c>
      <c r="K10" s="131" t="s">
        <v>1</v>
      </c>
      <c r="L10" s="253">
        <f>K6</f>
        <v>2515</v>
      </c>
      <c r="M10" s="177">
        <f>IF(AND(C6&gt;0,C9=Q18),4,IF(AND(C6&gt;0,OR(C9=Q16,C9=Q17,C9=Q19)),C10*2,0))</f>
        <v>6</v>
      </c>
      <c r="N10" s="116"/>
      <c r="O10" s="221">
        <f>IF(L10&gt;2650,M10,M10/2)</f>
        <v>3</v>
      </c>
      <c r="P10" s="16"/>
    </row>
    <row r="11" spans="2:23" ht="35.1" customHeight="1" thickBot="1" x14ac:dyDescent="0.3">
      <c r="B11" s="101" t="s">
        <v>78</v>
      </c>
      <c r="C11" s="266" t="s">
        <v>153</v>
      </c>
      <c r="D11" s="356" t="s">
        <v>166</v>
      </c>
      <c r="E11" s="356"/>
      <c r="F11" s="356"/>
      <c r="G11" s="356"/>
      <c r="H11" s="357"/>
      <c r="I11" s="16"/>
      <c r="J11" s="152" t="s">
        <v>105</v>
      </c>
      <c r="K11" s="131" t="s">
        <v>2</v>
      </c>
      <c r="L11" s="253">
        <f>K5-78</f>
        <v>752</v>
      </c>
      <c r="M11" s="177">
        <f>IF(AND(C6&gt;0,C9=Q18),2,IF(AND(C6&gt;0,OR(C9=Q16,C9=Q17,C9=Q19)),C10,0))</f>
        <v>3</v>
      </c>
      <c r="N11" s="253">
        <f>L11*M11</f>
        <v>2256</v>
      </c>
      <c r="O11" s="221">
        <f>CEILING((L11*M11)/5000,1)</f>
        <v>1</v>
      </c>
      <c r="P11" s="16"/>
      <c r="Q11" s="64" t="s">
        <v>149</v>
      </c>
    </row>
    <row r="12" spans="2:23" ht="15.75" x14ac:dyDescent="0.25">
      <c r="I12" s="16"/>
      <c r="J12" s="152" t="s">
        <v>106</v>
      </c>
      <c r="K12" s="131" t="s">
        <v>3</v>
      </c>
      <c r="L12" s="253">
        <f>K5-78</f>
        <v>752</v>
      </c>
      <c r="M12" s="177">
        <f>IF(AND(C6&gt;0,C9=Q18),2,IF(AND(C6&gt;0,OR(C9=Q16,C9=Q17,C9=Q19)),C10,0))</f>
        <v>3</v>
      </c>
      <c r="N12" s="253">
        <f t="shared" ref="N12:N17" si="0">L12*M12</f>
        <v>2256</v>
      </c>
      <c r="O12" s="221">
        <f>CEILING((L12*M12)/5000,1)</f>
        <v>1</v>
      </c>
      <c r="P12" s="16"/>
      <c r="Q12" s="64" t="s">
        <v>150</v>
      </c>
    </row>
    <row r="13" spans="2:23" ht="15.75" x14ac:dyDescent="0.25">
      <c r="B13" s="16"/>
      <c r="C13" s="16"/>
      <c r="D13" s="16"/>
      <c r="E13" s="16"/>
      <c r="F13" s="16"/>
      <c r="G13" s="16"/>
      <c r="H13" s="16"/>
      <c r="I13" s="16"/>
      <c r="J13" s="123" t="str">
        <f>C8</f>
        <v>Dividing Rail 4 in 1 System</v>
      </c>
      <c r="K13" s="131" t="str">
        <f>IF(J13=T2,U2,U3)</f>
        <v>FA0412.VP500</v>
      </c>
      <c r="L13" s="253">
        <f>IF(AND(C8=T3,C7&gt;0),K5-78,IF(AND(C8=T2,C7&gt;0),K5-76,0))</f>
        <v>0</v>
      </c>
      <c r="M13" s="177">
        <f>IF(AND(C9=Q18,C7&gt;0),C7*2,C7*C10)</f>
        <v>0</v>
      </c>
      <c r="N13" s="253">
        <f t="shared" si="0"/>
        <v>0</v>
      </c>
      <c r="O13" s="221">
        <f>IF(L13="нет",0,CEILING((L13*M13)/5000,1))</f>
        <v>0</v>
      </c>
      <c r="P13" s="16"/>
      <c r="Q13" s="64" t="s">
        <v>151</v>
      </c>
      <c r="R13" s="16"/>
      <c r="S13" s="16"/>
      <c r="T13" s="16"/>
    </row>
    <row r="14" spans="2:23" ht="15.75" x14ac:dyDescent="0.25">
      <c r="B14" s="325" t="s">
        <v>85</v>
      </c>
      <c r="C14" s="325"/>
      <c r="D14" s="325"/>
      <c r="E14" s="325"/>
      <c r="F14" s="325"/>
      <c r="G14" s="325"/>
      <c r="H14" s="325"/>
      <c r="I14" s="16"/>
      <c r="J14" s="152" t="s">
        <v>103</v>
      </c>
      <c r="K14" s="131" t="s">
        <v>5</v>
      </c>
      <c r="L14" s="253">
        <f>IF(OR(C9=Q16,C9=Q18),K5-120,0)</f>
        <v>0</v>
      </c>
      <c r="M14" s="177">
        <f>IF(AND(L14&gt;0,C9=Q16),C10,IF(AND(L14&gt;0,C9=Q18),2,0))</f>
        <v>0</v>
      </c>
      <c r="N14" s="446">
        <f>L14*M14+L15*M15</f>
        <v>0</v>
      </c>
      <c r="O14" s="444">
        <f>CEILING((L14*M14+L15*M15)/5000,1)</f>
        <v>0</v>
      </c>
      <c r="P14" s="16"/>
      <c r="Q14" s="16"/>
      <c r="R14" s="16"/>
      <c r="S14" s="16"/>
      <c r="T14" s="16"/>
    </row>
    <row r="15" spans="2:23" ht="15.75" customHeight="1" x14ac:dyDescent="0.25">
      <c r="B15" s="340" t="s">
        <v>86</v>
      </c>
      <c r="C15" s="340"/>
      <c r="D15" s="340"/>
      <c r="E15" s="340"/>
      <c r="F15" s="340"/>
      <c r="G15" s="340"/>
      <c r="H15" s="340"/>
      <c r="I15" s="16"/>
      <c r="J15" s="152" t="s">
        <v>103</v>
      </c>
      <c r="K15" s="131" t="s">
        <v>5</v>
      </c>
      <c r="L15" s="253">
        <f>IF(C9=Q18,(C5-K5*2)-120,0)</f>
        <v>0</v>
      </c>
      <c r="M15" s="177">
        <f>IF(L15&gt;0,1,0)</f>
        <v>0</v>
      </c>
      <c r="N15" s="447"/>
      <c r="O15" s="445"/>
      <c r="P15" s="16"/>
      <c r="Q15" s="16"/>
      <c r="R15" s="16"/>
      <c r="S15" s="16"/>
      <c r="T15" s="16"/>
    </row>
    <row r="16" spans="2:23" ht="15.75" customHeight="1" x14ac:dyDescent="0.25">
      <c r="B16" s="340"/>
      <c r="C16" s="340"/>
      <c r="D16" s="340"/>
      <c r="E16" s="340"/>
      <c r="F16" s="340"/>
      <c r="G16" s="340"/>
      <c r="H16" s="340"/>
      <c r="I16" s="16"/>
      <c r="J16" s="152" t="s">
        <v>104</v>
      </c>
      <c r="K16" s="131" t="s">
        <v>6</v>
      </c>
      <c r="L16" s="253">
        <f>IF(OR(C9=Q16,C9=Q18),C5,0)</f>
        <v>0</v>
      </c>
      <c r="M16" s="177">
        <f>IF(C9=Q16,2,IF(C9=Q18,1,0))</f>
        <v>0</v>
      </c>
      <c r="N16" s="253">
        <f t="shared" si="0"/>
        <v>0</v>
      </c>
      <c r="O16" s="221">
        <f>CEILING((L16*M16)/5000,1)</f>
        <v>0</v>
      </c>
      <c r="P16" s="16"/>
      <c r="Q16" s="110" t="s">
        <v>217</v>
      </c>
      <c r="R16" s="16"/>
      <c r="S16" s="16"/>
      <c r="T16" s="16"/>
    </row>
    <row r="17" spans="2:20" ht="15.75" customHeight="1" x14ac:dyDescent="0.25">
      <c r="B17" s="340"/>
      <c r="C17" s="340"/>
      <c r="D17" s="340"/>
      <c r="E17" s="340"/>
      <c r="F17" s="340"/>
      <c r="G17" s="340"/>
      <c r="H17" s="340"/>
      <c r="I17" s="16"/>
      <c r="J17" s="152" t="s">
        <v>215</v>
      </c>
      <c r="K17" s="131" t="s">
        <v>7</v>
      </c>
      <c r="L17" s="253">
        <f>IF(OR(C9=Q18,C9=Q16,C9=Q17),L11-50,0)</f>
        <v>0</v>
      </c>
      <c r="M17" s="177">
        <f>IF(OR(C9=Q16,C9=Q17),C10,IF(C9=Q18,2,0))</f>
        <v>0</v>
      </c>
      <c r="N17" s="253">
        <f t="shared" si="0"/>
        <v>0</v>
      </c>
      <c r="O17" s="221">
        <f>CEILING((L17*M17)/5400,1)</f>
        <v>0</v>
      </c>
      <c r="P17" s="16"/>
      <c r="Q17" s="110" t="s">
        <v>218</v>
      </c>
      <c r="R17" s="16"/>
      <c r="S17" s="16"/>
      <c r="T17" s="16"/>
    </row>
    <row r="18" spans="2:20" ht="15.75" x14ac:dyDescent="0.25">
      <c r="B18" s="16"/>
      <c r="C18" s="16"/>
      <c r="D18" s="16"/>
      <c r="E18" s="16"/>
      <c r="F18" s="16"/>
      <c r="G18" s="16"/>
      <c r="H18" s="16"/>
      <c r="I18" s="16"/>
      <c r="J18" s="347"/>
      <c r="K18" s="348"/>
      <c r="L18" s="348"/>
      <c r="M18" s="348"/>
      <c r="N18" s="348"/>
      <c r="O18" s="349"/>
      <c r="P18" s="16"/>
      <c r="Q18" s="110" t="s">
        <v>219</v>
      </c>
      <c r="R18" s="16"/>
      <c r="S18" s="16"/>
      <c r="T18" s="16"/>
    </row>
    <row r="19" spans="2:20" ht="19.5" thickBot="1" x14ac:dyDescent="0.3">
      <c r="B19" s="265" t="s">
        <v>87</v>
      </c>
      <c r="C19" s="136"/>
      <c r="D19" s="136"/>
      <c r="E19" s="136"/>
      <c r="F19" s="136"/>
      <c r="G19" s="136"/>
      <c r="H19" s="136"/>
      <c r="I19" s="16"/>
      <c r="J19" s="129"/>
      <c r="K19" s="130"/>
      <c r="L19" s="130"/>
      <c r="M19" s="130"/>
      <c r="N19" s="130"/>
      <c r="O19" s="46"/>
      <c r="P19" s="16"/>
      <c r="Q19" s="111" t="s">
        <v>220</v>
      </c>
      <c r="R19" s="16"/>
      <c r="S19" s="16"/>
      <c r="T19" s="16"/>
    </row>
    <row r="20" spans="2:20" ht="19.5" thickBot="1" x14ac:dyDescent="0.3">
      <c r="B20" s="58"/>
      <c r="C20" s="59"/>
      <c r="D20" s="59"/>
      <c r="E20" s="59"/>
      <c r="F20" s="59"/>
      <c r="G20" s="59"/>
      <c r="H20" s="60"/>
      <c r="I20" s="16"/>
      <c r="J20" s="102"/>
      <c r="K20" s="18"/>
      <c r="L20" s="18"/>
      <c r="M20" s="16"/>
      <c r="N20" s="16"/>
      <c r="O20" s="112"/>
      <c r="P20" s="16"/>
      <c r="Q20" s="16"/>
      <c r="R20" s="16"/>
      <c r="S20" s="16"/>
      <c r="T20" s="16"/>
    </row>
    <row r="21" spans="2:20" ht="19.5" thickBot="1" x14ac:dyDescent="0.35">
      <c r="B21" s="61" t="s">
        <v>88</v>
      </c>
      <c r="C21" s="205">
        <f>C7+1</f>
        <v>1</v>
      </c>
      <c r="D21" s="88"/>
      <c r="E21" s="89"/>
      <c r="F21" s="89"/>
      <c r="G21" s="89"/>
      <c r="H21" s="63"/>
      <c r="I21" s="137"/>
      <c r="J21" s="113"/>
      <c r="K21" s="38"/>
      <c r="L21" s="37"/>
      <c r="M21" s="16"/>
      <c r="N21" s="16"/>
      <c r="O21" s="103"/>
      <c r="P21" s="16"/>
      <c r="Q21" s="16"/>
      <c r="R21" s="16"/>
      <c r="S21" s="16"/>
      <c r="T21" s="16"/>
    </row>
    <row r="22" spans="2:20" ht="19.5" thickBot="1" x14ac:dyDescent="0.3">
      <c r="B22" s="65"/>
      <c r="C22" s="66"/>
      <c r="D22" s="66"/>
      <c r="E22" s="66"/>
      <c r="F22" s="66"/>
      <c r="G22" s="66"/>
      <c r="H22" s="67"/>
      <c r="I22" s="137"/>
      <c r="J22" s="332" t="s">
        <v>109</v>
      </c>
      <c r="K22" s="333"/>
      <c r="L22" s="333"/>
      <c r="M22" s="130"/>
      <c r="N22" s="16"/>
      <c r="O22" s="103"/>
      <c r="P22" s="16"/>
      <c r="Q22" s="16"/>
      <c r="R22" s="16"/>
      <c r="S22" s="16"/>
      <c r="T22" s="16"/>
    </row>
    <row r="23" spans="2:20" ht="18.75" x14ac:dyDescent="0.25">
      <c r="B23" s="65"/>
      <c r="C23" s="66"/>
      <c r="D23" s="66"/>
      <c r="E23" s="66"/>
      <c r="F23" s="66"/>
      <c r="G23" s="66"/>
      <c r="H23" s="67"/>
      <c r="I23" s="137"/>
      <c r="J23" s="437" t="s">
        <v>107</v>
      </c>
      <c r="K23" s="438"/>
      <c r="L23" s="438"/>
      <c r="M23" s="151" t="s">
        <v>108</v>
      </c>
      <c r="N23" s="271" t="s">
        <v>94</v>
      </c>
      <c r="O23" s="21"/>
      <c r="P23" s="16"/>
      <c r="R23" s="16"/>
      <c r="S23" s="16"/>
      <c r="T23" s="16"/>
    </row>
    <row r="24" spans="2:20" ht="18.75" x14ac:dyDescent="0.25">
      <c r="B24" s="68" t="s">
        <v>89</v>
      </c>
      <c r="C24" s="150" t="s">
        <v>90</v>
      </c>
      <c r="D24" s="69" t="s">
        <v>91</v>
      </c>
      <c r="E24" s="150" t="s">
        <v>92</v>
      </c>
      <c r="F24" s="150" t="s">
        <v>93</v>
      </c>
      <c r="G24" s="150" t="s">
        <v>94</v>
      </c>
      <c r="H24" s="70" t="s">
        <v>95</v>
      </c>
      <c r="I24" s="16"/>
      <c r="J24" s="391" t="s">
        <v>216</v>
      </c>
      <c r="K24" s="392"/>
      <c r="L24" s="392"/>
      <c r="M24" s="131" t="s">
        <v>8</v>
      </c>
      <c r="N24" s="178">
        <f>CEILING(IF(OR(C9=Q16,C9=Q17),0.5*C10,IF(C9=Q18,1,C10)),1)</f>
        <v>3</v>
      </c>
      <c r="O24" s="21"/>
      <c r="P24" s="16"/>
      <c r="R24" s="16"/>
      <c r="S24" s="16"/>
      <c r="T24" s="16"/>
    </row>
    <row r="25" spans="2:20" ht="18.75" x14ac:dyDescent="0.25">
      <c r="B25" s="71" t="s">
        <v>96</v>
      </c>
      <c r="C25" s="29" t="s">
        <v>151</v>
      </c>
      <c r="D25" s="223">
        <v>0</v>
      </c>
      <c r="E25" s="195">
        <f>K6-IF(E29=0,0,IF(C29=Q11,E29,IF(C29=Q12,E29+2,E29+3)))-IF(E28=0,0,IF(C28=Q11,E28,IF(C28=Q12,E28+2,E28+3)))-IF(E27=0,0,IF(C27=Q11,E27,IF(C27=Q12,E27+2,E27+3)))-IF(E26=0,0,IF(C26=Q11,E26,IF(C26=Q12,E26+2,E26+3)))-44-IF(C25=Q12,2,IF(C25=Q13,3,0))-C7*V2</f>
        <v>2468</v>
      </c>
      <c r="F25" s="196">
        <f>IF(C25=$Q$13,$K$5-63,IF(C25=$Q$12,$K$5-62,$K$5-60))</f>
        <v>767</v>
      </c>
      <c r="G25" s="198">
        <f>IF(C9=Q18,2,$C$10)</f>
        <v>3</v>
      </c>
      <c r="H25" s="276">
        <f>E25*F25*D25*G25/1000000</f>
        <v>0</v>
      </c>
      <c r="I25" s="137">
        <f>IF(E25&lt;&gt;0,1,0)</f>
        <v>1</v>
      </c>
      <c r="J25" s="315" t="s">
        <v>117</v>
      </c>
      <c r="K25" s="316"/>
      <c r="L25" s="316"/>
      <c r="M25" s="126" t="s">
        <v>9</v>
      </c>
      <c r="N25" s="178">
        <f>M11*2+M12*2+M13*2</f>
        <v>12</v>
      </c>
      <c r="O25" s="21"/>
      <c r="P25" s="16"/>
      <c r="R25" s="16"/>
      <c r="S25" s="16"/>
      <c r="T25" s="16"/>
    </row>
    <row r="26" spans="2:20" ht="18.75" x14ac:dyDescent="0.25">
      <c r="B26" s="71" t="s">
        <v>97</v>
      </c>
      <c r="C26" s="29" t="s">
        <v>149</v>
      </c>
      <c r="D26" s="223">
        <v>0</v>
      </c>
      <c r="E26" s="197">
        <v>0</v>
      </c>
      <c r="F26" s="196">
        <f>IF(C26=$Q$13,$K$5-63,IF(C26=$Q$12,$K$5-62,$K$5-60))</f>
        <v>770</v>
      </c>
      <c r="G26" s="198">
        <f>IF(E26=0,0,IF($C$9=$Q$18,2,$C$10))</f>
        <v>0</v>
      </c>
      <c r="H26" s="276">
        <f t="shared" ref="H26:H29" si="1">E26*F26*D26*G26/1000000</f>
        <v>0</v>
      </c>
      <c r="I26" s="137">
        <f>IF(E26&lt;&gt;0,1,0)</f>
        <v>0</v>
      </c>
      <c r="J26" s="391" t="s">
        <v>120</v>
      </c>
      <c r="K26" s="392"/>
      <c r="L26" s="392"/>
      <c r="M26" s="128" t="s">
        <v>10</v>
      </c>
      <c r="N26" s="226">
        <f>ROUNDUP((IF(C25=Q12,(E25+F25)*2*G25,0)+IF(C26=Q12,(E26+F26)*2*G26,0)+IF(C27=Q12,(E27+F27)*2*G27,0)+IF(C28=Q12,(E28+F28)*2*G28,0)+IF(C29=Q12,(E29+F29)*2*G29,0))/1000,0)</f>
        <v>0</v>
      </c>
      <c r="O26" s="21"/>
      <c r="P26" s="16"/>
      <c r="R26" s="16"/>
      <c r="S26" s="16"/>
      <c r="T26" s="16"/>
    </row>
    <row r="27" spans="2:20" ht="18.75" x14ac:dyDescent="0.25">
      <c r="B27" s="71" t="s">
        <v>98</v>
      </c>
      <c r="C27" s="29" t="s">
        <v>149</v>
      </c>
      <c r="D27" s="223">
        <v>0</v>
      </c>
      <c r="E27" s="197">
        <v>0</v>
      </c>
      <c r="F27" s="196">
        <f>IF(C27=$Q$13,$K$5-63,IF(C27=$Q$12,$K$5-62,$K$5-60))</f>
        <v>770</v>
      </c>
      <c r="G27" s="198">
        <f>IF(E27=0,0,IF($C$9=$Q$18,2,$C$10))</f>
        <v>0</v>
      </c>
      <c r="H27" s="276">
        <f t="shared" si="1"/>
        <v>0</v>
      </c>
      <c r="I27" s="137">
        <f>IF(E27&lt;&gt;0,1,0)</f>
        <v>0</v>
      </c>
      <c r="J27" s="393" t="s">
        <v>121</v>
      </c>
      <c r="K27" s="394"/>
      <c r="L27" s="394"/>
      <c r="M27" s="128" t="s">
        <v>11</v>
      </c>
      <c r="N27" s="226">
        <f>ROUNDUP((IF(C25=Q13,(E25+F25)*2*G25,0)+IF(C26=Q13,(E26+F26)*2*G26,0)+IF(C27=Q13,(E27+F27)*2*G27,0)+IF(C28=Q13,(E28+F28)*2*G28,0)+IF(C29=Q13,(E29+F29)*2*G29,0))/1000,0)</f>
        <v>20</v>
      </c>
      <c r="O27" s="21"/>
      <c r="P27" s="16"/>
      <c r="R27" s="16"/>
      <c r="S27" s="16"/>
      <c r="T27" s="16"/>
    </row>
    <row r="28" spans="2:20" ht="18.75" x14ac:dyDescent="0.25">
      <c r="B28" s="71" t="s">
        <v>99</v>
      </c>
      <c r="C28" s="29" t="s">
        <v>151</v>
      </c>
      <c r="D28" s="223">
        <v>0</v>
      </c>
      <c r="E28" s="197">
        <v>0</v>
      </c>
      <c r="F28" s="196">
        <f>IF(C28=$Q$13,$K$5-63,IF(C28=$Q$12,$K$5-62,$K$5-60))</f>
        <v>767</v>
      </c>
      <c r="G28" s="198">
        <f>IF(E28=0,0,IF($C$9=$Q$18,2,$C$10))</f>
        <v>0</v>
      </c>
      <c r="H28" s="276">
        <f t="shared" si="1"/>
        <v>0</v>
      </c>
      <c r="I28" s="137">
        <f>IF(E28&lt;&gt;0,1,0)</f>
        <v>0</v>
      </c>
      <c r="J28" s="391" t="s">
        <v>123</v>
      </c>
      <c r="K28" s="392"/>
      <c r="L28" s="392"/>
      <c r="M28" s="128" t="s">
        <v>12</v>
      </c>
      <c r="N28" s="178">
        <f>IF(C11=Q38,N25,0)</f>
        <v>0</v>
      </c>
      <c r="O28" s="21"/>
      <c r="P28" s="16"/>
      <c r="Q28" s="16"/>
      <c r="R28" s="16"/>
      <c r="S28" s="16"/>
      <c r="T28" s="16"/>
    </row>
    <row r="29" spans="2:20" ht="19.5" thickBot="1" x14ac:dyDescent="0.3">
      <c r="B29" s="267" t="s">
        <v>100</v>
      </c>
      <c r="C29" s="29" t="s">
        <v>151</v>
      </c>
      <c r="D29" s="223">
        <v>0</v>
      </c>
      <c r="E29" s="197">
        <v>0</v>
      </c>
      <c r="F29" s="196">
        <f>IF(C29=$Q$13,$K$5-63,IF(C29=$Q$12,$K$5-62,$K$5-60))</f>
        <v>767</v>
      </c>
      <c r="G29" s="198">
        <f>IF(E29=0,0,IF($C$9=$Q$18,2,$C$10))</f>
        <v>0</v>
      </c>
      <c r="H29" s="276">
        <f t="shared" si="1"/>
        <v>0</v>
      </c>
      <c r="I29" s="137">
        <f>IF(E29&lt;&gt;0,1,0)</f>
        <v>0</v>
      </c>
      <c r="J29" s="315" t="s">
        <v>124</v>
      </c>
      <c r="K29" s="316"/>
      <c r="L29" s="316"/>
      <c r="M29" s="127" t="s">
        <v>13</v>
      </c>
      <c r="N29" s="180">
        <f>IF(C11=Q39,N25,0)</f>
        <v>0</v>
      </c>
      <c r="O29" s="21"/>
      <c r="P29" s="16"/>
      <c r="Q29" s="16"/>
      <c r="R29" s="16"/>
      <c r="S29" s="16"/>
      <c r="T29" s="16"/>
    </row>
    <row r="30" spans="2:20" ht="19.5" thickBot="1" x14ac:dyDescent="0.3">
      <c r="B30" s="65"/>
      <c r="C30" s="66"/>
      <c r="D30" s="66"/>
      <c r="E30" s="442" t="s">
        <v>101</v>
      </c>
      <c r="F30" s="442"/>
      <c r="G30" s="443"/>
      <c r="H30" s="277">
        <f>SUM(H25:H29)</f>
        <v>0</v>
      </c>
      <c r="I30" s="16"/>
      <c r="J30" s="404" t="s">
        <v>125</v>
      </c>
      <c r="K30" s="405"/>
      <c r="L30" s="405"/>
      <c r="M30" s="126" t="s">
        <v>14</v>
      </c>
      <c r="N30" s="227">
        <f>IF(C11=Q41,ROUNDUP(L10*M10/1000,0),0)</f>
        <v>0</v>
      </c>
      <c r="O30" s="21"/>
      <c r="P30" s="16"/>
      <c r="Q30" s="16"/>
      <c r="R30" s="16"/>
      <c r="S30" s="16"/>
      <c r="T30" s="16"/>
    </row>
    <row r="31" spans="2:20" ht="18.75" x14ac:dyDescent="0.25">
      <c r="B31" s="65"/>
      <c r="C31" s="450" t="str">
        <f>IF((SUM(I25:I29)/C21)&lt;&gt;1,Q54,Q55)</f>
        <v>Correct insert heights</v>
      </c>
      <c r="D31" s="451"/>
      <c r="E31" s="132">
        <f>IF(C31=Q55,1,0)</f>
        <v>1</v>
      </c>
      <c r="F31" s="132"/>
      <c r="G31" s="132"/>
      <c r="H31" s="67"/>
      <c r="I31" s="16"/>
      <c r="J31" s="404" t="s">
        <v>153</v>
      </c>
      <c r="K31" s="405"/>
      <c r="L31" s="405"/>
      <c r="M31" s="126" t="s">
        <v>15</v>
      </c>
      <c r="N31" s="227">
        <f>IF(C11=Q40,ROUNDUP(L10*M10/1000,0),0)</f>
        <v>16</v>
      </c>
      <c r="O31" s="21"/>
      <c r="P31" s="16"/>
      <c r="Q31" s="176">
        <v>0</v>
      </c>
      <c r="R31" s="16"/>
      <c r="S31" s="16"/>
      <c r="T31" s="16"/>
    </row>
    <row r="32" spans="2:20" ht="19.5" thickBot="1" x14ac:dyDescent="0.3">
      <c r="B32" s="65"/>
      <c r="C32" s="66"/>
      <c r="D32" s="66"/>
      <c r="E32" s="66"/>
      <c r="F32" s="66"/>
      <c r="G32" s="66"/>
      <c r="H32" s="67"/>
      <c r="I32" s="16"/>
      <c r="J32" s="448" t="s">
        <v>127</v>
      </c>
      <c r="K32" s="449"/>
      <c r="L32" s="449"/>
      <c r="M32" s="115" t="s">
        <v>16</v>
      </c>
      <c r="N32" s="272">
        <f>IF(N31&gt;0,M10*2,0)</f>
        <v>12</v>
      </c>
      <c r="O32" s="21"/>
      <c r="P32" s="16"/>
      <c r="Q32" s="181">
        <v>1</v>
      </c>
      <c r="R32" s="16"/>
      <c r="S32" s="16"/>
      <c r="T32" s="16"/>
    </row>
    <row r="33" spans="2:20" ht="18.75" x14ac:dyDescent="0.25">
      <c r="B33" s="65"/>
      <c r="C33" s="77"/>
      <c r="D33" s="77"/>
      <c r="E33" s="78"/>
      <c r="F33" s="78"/>
      <c r="G33" s="78"/>
      <c r="H33" s="67"/>
      <c r="I33" s="16"/>
      <c r="J33" s="99"/>
      <c r="K33" s="91"/>
      <c r="L33" s="367"/>
      <c r="M33" s="367"/>
      <c r="N33" s="367"/>
      <c r="O33" s="21"/>
      <c r="P33" s="16"/>
      <c r="Q33" s="176">
        <v>2</v>
      </c>
      <c r="R33" s="16"/>
      <c r="S33" s="16"/>
      <c r="T33" s="16"/>
    </row>
    <row r="34" spans="2:20" ht="18.75" x14ac:dyDescent="0.25">
      <c r="B34" s="65"/>
      <c r="C34" s="66"/>
      <c r="D34" s="66"/>
      <c r="E34" s="66"/>
      <c r="F34" s="66"/>
      <c r="G34" s="66"/>
      <c r="H34" s="21"/>
      <c r="I34" s="16"/>
      <c r="J34" s="99"/>
      <c r="K34" s="91"/>
      <c r="L34" s="16"/>
      <c r="M34" s="16"/>
      <c r="N34" s="16"/>
      <c r="O34" s="21"/>
      <c r="P34" s="16"/>
      <c r="Q34" s="176">
        <v>3</v>
      </c>
      <c r="R34" s="16"/>
      <c r="S34" s="16"/>
      <c r="T34" s="16"/>
    </row>
    <row r="35" spans="2:20" ht="18.75" x14ac:dyDescent="0.25">
      <c r="B35" s="65"/>
      <c r="C35" s="375" t="str">
        <f>IF(AND(SUM(I25:I29)/C21=1,E29=0,C21&lt;&gt;1),Q58,Q59)</f>
        <v xml:space="preserve"> </v>
      </c>
      <c r="D35" s="375"/>
      <c r="E35" s="78"/>
      <c r="F35" s="78"/>
      <c r="G35" s="78"/>
      <c r="H35" s="21"/>
      <c r="I35" s="16"/>
      <c r="J35" s="99"/>
      <c r="K35" s="91"/>
      <c r="L35" s="38"/>
      <c r="M35" s="38"/>
      <c r="N35" s="92"/>
      <c r="O35" s="73"/>
      <c r="P35" s="16"/>
      <c r="Q35" s="176">
        <v>4</v>
      </c>
      <c r="R35" s="16"/>
      <c r="S35" s="16"/>
      <c r="T35" s="16"/>
    </row>
    <row r="36" spans="2:20" ht="18.75" x14ac:dyDescent="0.25">
      <c r="B36" s="65"/>
      <c r="C36" s="66"/>
      <c r="D36" s="66"/>
      <c r="E36" s="66"/>
      <c r="F36" s="66"/>
      <c r="G36" s="66"/>
      <c r="H36" s="21"/>
      <c r="I36" s="16"/>
      <c r="J36" s="99"/>
      <c r="K36" s="16"/>
      <c r="L36" s="16"/>
      <c r="M36" s="16"/>
      <c r="N36" s="16"/>
      <c r="O36" s="21"/>
      <c r="P36" s="16"/>
      <c r="Q36" s="16"/>
      <c r="R36" s="16"/>
      <c r="S36" s="16"/>
      <c r="T36" s="16"/>
    </row>
    <row r="37" spans="2:20" ht="18.75" x14ac:dyDescent="0.25">
      <c r="B37" s="65"/>
      <c r="C37" s="66"/>
      <c r="D37" s="66"/>
      <c r="E37" s="66"/>
      <c r="F37" s="66"/>
      <c r="G37" s="66"/>
      <c r="H37" s="21"/>
      <c r="I37" s="16"/>
      <c r="J37" s="99"/>
      <c r="K37" s="16"/>
      <c r="L37" s="16"/>
      <c r="M37" s="16"/>
      <c r="N37" s="16"/>
      <c r="O37" s="21"/>
      <c r="P37" s="16"/>
      <c r="Q37" s="16"/>
      <c r="R37" s="16"/>
      <c r="S37" s="16"/>
      <c r="T37" s="16"/>
    </row>
    <row r="38" spans="2:20" ht="18.75" x14ac:dyDescent="0.3">
      <c r="B38" s="79"/>
      <c r="C38" s="80"/>
      <c r="D38" s="132"/>
      <c r="E38" s="132"/>
      <c r="F38" s="132"/>
      <c r="G38" s="132"/>
      <c r="H38" s="21"/>
      <c r="I38" s="16"/>
      <c r="J38" s="99"/>
      <c r="K38" s="16"/>
      <c r="L38" s="16"/>
      <c r="M38" s="16"/>
      <c r="N38" s="16"/>
      <c r="O38" s="21"/>
      <c r="P38" s="16"/>
      <c r="Q38" s="11" t="s">
        <v>123</v>
      </c>
      <c r="R38" s="16"/>
      <c r="S38" s="16"/>
      <c r="T38" s="16"/>
    </row>
    <row r="39" spans="2:20" x14ac:dyDescent="0.25">
      <c r="B39" s="22"/>
      <c r="C39" s="17"/>
      <c r="D39" s="17"/>
      <c r="E39" s="17"/>
      <c r="F39" s="17"/>
      <c r="G39" s="17"/>
      <c r="H39" s="23"/>
      <c r="I39" s="16"/>
      <c r="J39" s="99"/>
      <c r="K39" s="16"/>
      <c r="L39" s="16"/>
      <c r="M39" s="16"/>
      <c r="N39" s="16"/>
      <c r="O39" s="21"/>
      <c r="P39" s="16"/>
      <c r="Q39" s="76" t="s">
        <v>124</v>
      </c>
      <c r="R39" s="16"/>
      <c r="S39" s="16"/>
      <c r="T39" s="16"/>
    </row>
    <row r="40" spans="2:20" ht="18.75" x14ac:dyDescent="0.3">
      <c r="B40" s="79"/>
      <c r="C40" s="80"/>
      <c r="D40" s="132"/>
      <c r="E40" s="132"/>
      <c r="F40" s="132"/>
      <c r="G40" s="132"/>
      <c r="H40" s="63"/>
      <c r="I40" s="16"/>
      <c r="J40" s="99"/>
      <c r="K40" s="91"/>
      <c r="L40" s="38"/>
      <c r="M40" s="38"/>
      <c r="N40" s="92"/>
      <c r="O40" s="73"/>
      <c r="P40" s="16"/>
      <c r="Q40" s="76" t="s">
        <v>153</v>
      </c>
      <c r="R40" s="16"/>
      <c r="S40" s="16"/>
      <c r="T40" s="16"/>
    </row>
    <row r="41" spans="2:20" ht="18.75" x14ac:dyDescent="0.3">
      <c r="B41" s="79"/>
      <c r="C41" s="80"/>
      <c r="D41" s="132"/>
      <c r="E41" s="132"/>
      <c r="F41" s="132"/>
      <c r="G41" s="132"/>
      <c r="H41" s="63"/>
      <c r="I41" s="16"/>
      <c r="J41" s="99"/>
      <c r="K41" s="91" t="s">
        <v>0</v>
      </c>
      <c r="L41" s="38"/>
      <c r="M41" s="38"/>
      <c r="N41" s="92"/>
      <c r="O41" s="73"/>
      <c r="P41" s="16"/>
      <c r="Q41" s="11" t="s">
        <v>125</v>
      </c>
      <c r="R41" s="16"/>
      <c r="S41" s="16"/>
      <c r="T41" s="16"/>
    </row>
    <row r="42" spans="2:20" ht="18.75" x14ac:dyDescent="0.3">
      <c r="B42" s="79"/>
      <c r="C42" s="80"/>
      <c r="D42" s="132"/>
      <c r="E42" s="132"/>
      <c r="F42" s="132"/>
      <c r="G42" s="132"/>
      <c r="H42" s="63"/>
      <c r="I42" s="16"/>
      <c r="J42" s="99"/>
      <c r="K42" s="91"/>
      <c r="L42" s="38"/>
      <c r="M42" s="16"/>
      <c r="N42" s="16"/>
      <c r="O42" s="21"/>
      <c r="P42" s="16"/>
      <c r="Q42" s="16"/>
      <c r="R42" s="16"/>
      <c r="S42" s="16"/>
      <c r="T42" s="16"/>
    </row>
    <row r="43" spans="2:20" ht="19.5" thickBot="1" x14ac:dyDescent="0.35">
      <c r="B43" s="84"/>
      <c r="C43" s="85"/>
      <c r="D43" s="86"/>
      <c r="E43" s="86"/>
      <c r="F43" s="86"/>
      <c r="G43" s="86"/>
      <c r="H43" s="87"/>
      <c r="I43" s="138"/>
      <c r="J43" s="124"/>
      <c r="K43" s="373"/>
      <c r="L43" s="373"/>
      <c r="M43" s="373"/>
      <c r="N43" s="373"/>
      <c r="O43" s="139"/>
      <c r="P43" s="16"/>
      <c r="Q43" s="16"/>
      <c r="R43" s="16"/>
      <c r="S43" s="16"/>
      <c r="T43" s="16"/>
    </row>
    <row r="44" spans="2:20" x14ac:dyDescent="0.25">
      <c r="P44" s="16"/>
      <c r="Q44" s="16"/>
      <c r="R44" s="16"/>
      <c r="S44" s="16"/>
      <c r="T44" s="16"/>
    </row>
    <row r="45" spans="2:20" x14ac:dyDescent="0.25">
      <c r="P45" s="16"/>
      <c r="Q45" s="16"/>
      <c r="R45" s="16"/>
      <c r="S45" s="16"/>
      <c r="T45" s="16"/>
    </row>
    <row r="46" spans="2:20" x14ac:dyDescent="0.25">
      <c r="P46" s="16"/>
      <c r="Q46" s="52" t="s">
        <v>207</v>
      </c>
      <c r="R46" s="16"/>
      <c r="S46" s="16"/>
      <c r="T46" s="16"/>
    </row>
    <row r="47" spans="2:20" x14ac:dyDescent="0.25">
      <c r="Q47" s="52" t="s">
        <v>144</v>
      </c>
      <c r="R47" s="16"/>
      <c r="S47" s="16"/>
      <c r="T47" s="16"/>
    </row>
    <row r="48" spans="2:20" x14ac:dyDescent="0.25">
      <c r="R48" s="16"/>
      <c r="S48" s="16"/>
      <c r="T48" s="16"/>
    </row>
    <row r="49" spans="16:20" ht="15" customHeight="1" x14ac:dyDescent="0.25">
      <c r="R49" s="16"/>
      <c r="S49" s="16"/>
      <c r="T49" s="16"/>
    </row>
    <row r="50" spans="16:20" ht="15" customHeight="1" x14ac:dyDescent="0.25">
      <c r="Q50" s="11" t="s">
        <v>143</v>
      </c>
      <c r="R50" s="16"/>
      <c r="S50" s="16"/>
      <c r="T50" s="16"/>
    </row>
    <row r="51" spans="16:20" ht="15" customHeight="1" x14ac:dyDescent="0.25">
      <c r="Q51" s="52" t="s">
        <v>144</v>
      </c>
      <c r="R51" s="16"/>
      <c r="S51" s="16"/>
      <c r="T51" s="16"/>
    </row>
    <row r="52" spans="16:20" x14ac:dyDescent="0.25">
      <c r="P52" s="43" t="str">
        <f>'Top Hung'!R52</f>
        <v>Серебро матовое</v>
      </c>
      <c r="Q52" s="16"/>
      <c r="R52" s="16"/>
      <c r="S52" s="16"/>
      <c r="T52" s="16"/>
    </row>
    <row r="53" spans="16:20" x14ac:dyDescent="0.25">
      <c r="P53" s="43" t="str">
        <f>'Top Hung'!R53</f>
        <v>Черный матовый</v>
      </c>
      <c r="Q53" s="16"/>
      <c r="R53" s="16"/>
      <c r="S53" s="16"/>
      <c r="T53" s="16"/>
    </row>
    <row r="54" spans="16:20" ht="18.75" x14ac:dyDescent="0.25">
      <c r="P54" s="43" t="str">
        <f>'Top Hung'!R54</f>
        <v>Слоновая кость</v>
      </c>
      <c r="Q54" s="187" t="s">
        <v>154</v>
      </c>
      <c r="R54" s="16"/>
      <c r="S54" s="16"/>
      <c r="T54" s="16"/>
    </row>
    <row r="55" spans="16:20" ht="18.75" x14ac:dyDescent="0.25">
      <c r="P55" s="43" t="str">
        <f>'Top Hung'!R55</f>
        <v>Белый матовый</v>
      </c>
      <c r="Q55" s="74" t="s">
        <v>155</v>
      </c>
      <c r="R55" s="16"/>
      <c r="S55" s="16"/>
      <c r="T55" s="16"/>
    </row>
    <row r="56" spans="16:20" x14ac:dyDescent="0.25">
      <c r="P56" s="43" t="str">
        <f>'Top Hung'!R56</f>
        <v xml:space="preserve">Венге темный </v>
      </c>
      <c r="Q56" s="16"/>
      <c r="R56" s="16"/>
      <c r="S56" s="16"/>
      <c r="T56" s="16"/>
    </row>
    <row r="57" spans="16:20" x14ac:dyDescent="0.25">
      <c r="P57" s="43" t="str">
        <f>'Top Hung'!R57</f>
        <v>Дуб белый</v>
      </c>
      <c r="Q57" s="16"/>
      <c r="R57" s="16"/>
      <c r="S57" s="16"/>
      <c r="T57" s="16"/>
    </row>
    <row r="58" spans="16:20" ht="18.75" x14ac:dyDescent="0.3">
      <c r="P58" s="43" t="str">
        <f>'Top Hung'!R58</f>
        <v xml:space="preserve"> медь античная*</v>
      </c>
      <c r="Q58" s="83" t="s">
        <v>156</v>
      </c>
      <c r="R58" s="16"/>
      <c r="S58" s="16"/>
      <c r="T58" s="16"/>
    </row>
    <row r="59" spans="16:20" x14ac:dyDescent="0.25">
      <c r="P59" s="43" t="str">
        <f>'Top Hung'!R59</f>
        <v>сталь воронёная*</v>
      </c>
      <c r="Q59" s="11" t="s">
        <v>0</v>
      </c>
      <c r="R59" s="16"/>
      <c r="S59" s="16"/>
      <c r="T59" s="16"/>
    </row>
    <row r="60" spans="16:20" x14ac:dyDescent="0.25">
      <c r="Q60" s="16"/>
      <c r="R60" s="16"/>
      <c r="S60" s="16"/>
      <c r="T60" s="16"/>
    </row>
    <row r="61" spans="16:20" x14ac:dyDescent="0.25">
      <c r="Q61" s="16"/>
      <c r="R61" s="16"/>
      <c r="S61" s="16"/>
      <c r="T61" s="16"/>
    </row>
    <row r="62" spans="16:20" x14ac:dyDescent="0.25">
      <c r="Q62" s="16"/>
      <c r="R62" s="16"/>
      <c r="S62" s="16"/>
      <c r="T62" s="16"/>
    </row>
  </sheetData>
  <sheetProtection algorithmName="SHA-512" hashValue="Gc6y+djKZxCPtuu9Ta6KvFd4B7TyEcEK+5IsyGAYPTk3ApPVWVYyD3yvbxKjBhWgYWsANIrMx9+ZfstuwwjEPw==" saltValue="S4P20/DtXFfMV0Y8Oqfn3Q==" spinCount="100000" sheet="1" selectLockedCells="1"/>
  <mergeCells count="35">
    <mergeCell ref="J32:L32"/>
    <mergeCell ref="C31:D31"/>
    <mergeCell ref="J29:L29"/>
    <mergeCell ref="J30:L30"/>
    <mergeCell ref="J31:L31"/>
    <mergeCell ref="J27:L27"/>
    <mergeCell ref="E30:G30"/>
    <mergeCell ref="J22:L22"/>
    <mergeCell ref="D11:H11"/>
    <mergeCell ref="J18:O18"/>
    <mergeCell ref="B15:H17"/>
    <mergeCell ref="B14:H14"/>
    <mergeCell ref="O14:O15"/>
    <mergeCell ref="N14:N15"/>
    <mergeCell ref="B3:C3"/>
    <mergeCell ref="D5:H5"/>
    <mergeCell ref="D6:H6"/>
    <mergeCell ref="D4:H4"/>
    <mergeCell ref="D8:H8"/>
    <mergeCell ref="J2:O2"/>
    <mergeCell ref="B1:O1"/>
    <mergeCell ref="K43:N43"/>
    <mergeCell ref="B2:H2"/>
    <mergeCell ref="J3:K3"/>
    <mergeCell ref="D7:H7"/>
    <mergeCell ref="D9:H9"/>
    <mergeCell ref="D10:H10"/>
    <mergeCell ref="C35:D35"/>
    <mergeCell ref="J23:L23"/>
    <mergeCell ref="J24:L24"/>
    <mergeCell ref="J25:L25"/>
    <mergeCell ref="L33:N33"/>
    <mergeCell ref="J28:L28"/>
    <mergeCell ref="J26:L26"/>
    <mergeCell ref="J8:M8"/>
  </mergeCells>
  <conditionalFormatting sqref="K21:L21 K5:K6 L16:N17 L15:M15 N24:N25 N28">
    <cfRule type="expression" dxfId="22" priority="15">
      <formula>$C$5=0</formula>
    </cfRule>
  </conditionalFormatting>
  <conditionalFormatting sqref="L10:N14">
    <cfRule type="expression" dxfId="21" priority="50">
      <formula>$C$5=0</formula>
    </cfRule>
  </conditionalFormatting>
  <conditionalFormatting sqref="D5:H6 D11:H11">
    <cfRule type="expression" dxfId="20" priority="17">
      <formula>$C5=0</formula>
    </cfRule>
  </conditionalFormatting>
  <conditionalFormatting sqref="O10">
    <cfRule type="expression" dxfId="19" priority="44">
      <formula>$C$5=0</formula>
    </cfRule>
  </conditionalFormatting>
  <conditionalFormatting sqref="O11:O13">
    <cfRule type="expression" dxfId="18" priority="41">
      <formula>$C$5=0</formula>
    </cfRule>
  </conditionalFormatting>
  <conditionalFormatting sqref="O14">
    <cfRule type="expression" dxfId="17" priority="40">
      <formula>$C$5=0</formula>
    </cfRule>
  </conditionalFormatting>
  <conditionalFormatting sqref="O16:O17">
    <cfRule type="expression" dxfId="16" priority="39">
      <formula>$C$5=0</formula>
    </cfRule>
  </conditionalFormatting>
  <conditionalFormatting sqref="O43">
    <cfRule type="expression" dxfId="15" priority="38">
      <formula>$C$5=0</formula>
    </cfRule>
  </conditionalFormatting>
  <conditionalFormatting sqref="D5:H5">
    <cfRule type="cellIs" dxfId="14" priority="36" operator="equal">
      <formula>$Q$46</formula>
    </cfRule>
  </conditionalFormatting>
  <conditionalFormatting sqref="C11">
    <cfRule type="cellIs" dxfId="13" priority="23" operator="greaterThan">
      <formula>0</formula>
    </cfRule>
  </conditionalFormatting>
  <conditionalFormatting sqref="K6">
    <cfRule type="expression" dxfId="12" priority="52">
      <formula>$K$6&gt;3200</formula>
    </cfRule>
  </conditionalFormatting>
  <conditionalFormatting sqref="K5">
    <cfRule type="expression" dxfId="11" priority="16">
      <formula>OR($K$5&lt;200,$K$5&gt;1200)</formula>
    </cfRule>
  </conditionalFormatting>
  <conditionalFormatting sqref="N26:N27">
    <cfRule type="expression" dxfId="10" priority="9">
      <formula>$C$5=0</formula>
    </cfRule>
  </conditionalFormatting>
  <conditionalFormatting sqref="E25 F25:H29 H30 K5:K6 N29:N32 D10:D11">
    <cfRule type="expression" dxfId="9" priority="7">
      <formula>$C$5=0</formula>
    </cfRule>
  </conditionalFormatting>
  <conditionalFormatting sqref="C8">
    <cfRule type="cellIs" dxfId="8" priority="6" operator="greaterThan">
      <formula>0</formula>
    </cfRule>
  </conditionalFormatting>
  <conditionalFormatting sqref="D8:H8">
    <cfRule type="expression" dxfId="7" priority="5">
      <formula>$C$6=0</formula>
    </cfRule>
  </conditionalFormatting>
  <conditionalFormatting sqref="C31:D31">
    <cfRule type="expression" dxfId="6" priority="202">
      <formula>$C$31=$Q$54</formula>
    </cfRule>
  </conditionalFormatting>
  <conditionalFormatting sqref="C35">
    <cfRule type="expression" dxfId="5" priority="203">
      <formula>$C$35=$Q$58</formula>
    </cfRule>
  </conditionalFormatting>
  <conditionalFormatting sqref="C31">
    <cfRule type="expression" dxfId="4" priority="204">
      <formula>$C$31=$Q$55</formula>
    </cfRule>
  </conditionalFormatting>
  <conditionalFormatting sqref="D6:H6">
    <cfRule type="expression" dxfId="3" priority="205">
      <formula>$D$6=$Q$50</formula>
    </cfRule>
  </conditionalFormatting>
  <conditionalFormatting sqref="D7:H7">
    <cfRule type="expression" dxfId="2" priority="4">
      <formula>$C$6=0</formula>
    </cfRule>
  </conditionalFormatting>
  <conditionalFormatting sqref="D11:H11">
    <cfRule type="expression" dxfId="1" priority="2">
      <formula>$C$4=0</formula>
    </cfRule>
  </conditionalFormatting>
  <conditionalFormatting sqref="C10">
    <cfRule type="expression" dxfId="0" priority="240">
      <formula>$C$9=$Q$18</formula>
    </cfRule>
  </conditionalFormatting>
  <dataValidations count="6">
    <dataValidation type="list" allowBlank="1" showInputMessage="1" showErrorMessage="1" sqref="C9" xr:uid="{00000000-0002-0000-0400-000000000000}">
      <formula1>$Q$16:$Q$19</formula1>
    </dataValidation>
    <dataValidation type="whole" allowBlank="1" showInputMessage="1" showErrorMessage="1" sqref="C10" xr:uid="{00000000-0002-0000-0400-000001000000}">
      <formula1>1</formula1>
      <formula2>10</formula2>
    </dataValidation>
    <dataValidation type="list" allowBlank="1" showInputMessage="1" showErrorMessage="1" sqref="C7" xr:uid="{00000000-0002-0000-0400-000002000000}">
      <formula1>$Q$31:$Q$35</formula1>
    </dataValidation>
    <dataValidation type="list" allowBlank="1" showInputMessage="1" showErrorMessage="1" sqref="C11" xr:uid="{00000000-0002-0000-0400-000003000000}">
      <formula1>$Q$38:$Q$41</formula1>
    </dataValidation>
    <dataValidation type="list" allowBlank="1" showInputMessage="1" showErrorMessage="1" sqref="C25:C29" xr:uid="{00000000-0002-0000-0400-000004000000}">
      <formula1>$Q$11:$Q$13</formula1>
    </dataValidation>
    <dataValidation type="list" allowBlank="1" showInputMessage="1" showErrorMessage="1" sqref="C8" xr:uid="{00000000-0002-0000-0400-000005000000}">
      <formula1>$T$2:$T$3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E31:G31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Contents</vt:lpstr>
      <vt:lpstr>Top Hung</vt:lpstr>
      <vt:lpstr>Folding</vt:lpstr>
      <vt:lpstr>Pivot</vt:lpstr>
      <vt:lpstr>Fixed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Сонин Алексей Александрович</cp:lastModifiedBy>
  <cp:lastPrinted>2015-02-14T09:33:23Z</cp:lastPrinted>
  <dcterms:created xsi:type="dcterms:W3CDTF">2015-02-11T05:31:15Z</dcterms:created>
  <dcterms:modified xsi:type="dcterms:W3CDTF">2022-03-30T07:54:58Z</dcterms:modified>
</cp:coreProperties>
</file>