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ЭтаКнига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Прун ВВ\Справочные материалы\Расчетные таблицы по всем системам\"/>
    </mc:Choice>
  </mc:AlternateContent>
  <bookViews>
    <workbookView xWindow="0" yWindow="0" windowWidth="23040" windowHeight="9192" tabRatio="681"/>
  </bookViews>
  <sheets>
    <sheet name="ОГЛАВЛЕНИЕ" sheetId="7" r:id="rId1"/>
    <sheet name="Подвесная" sheetId="5" r:id="rId2"/>
    <sheet name="Складная" sheetId="4" r:id="rId3"/>
    <sheet name="Распашная" sheetId="3" r:id="rId4"/>
    <sheet name="Стационарная" sheetId="1" r:id="rId5"/>
  </sheets>
  <calcPr calcId="162913"/>
</workbook>
</file>

<file path=xl/calcChain.xml><?xml version="1.0" encoding="utf-8"?>
<calcChain xmlns="http://schemas.openxmlformats.org/spreadsheetml/2006/main">
  <c r="N29" i="3" l="1"/>
  <c r="K5" i="3"/>
  <c r="D5" i="3" s="1"/>
  <c r="M11" i="3" l="1"/>
  <c r="M12" i="3"/>
  <c r="N35" i="3"/>
  <c r="N20" i="3"/>
  <c r="M12" i="5" l="1"/>
  <c r="L12" i="5"/>
  <c r="N34" i="5" l="1"/>
  <c r="N38" i="4" l="1"/>
  <c r="K5" i="4"/>
  <c r="K6" i="4" l="1"/>
  <c r="N37" i="4" l="1"/>
  <c r="N36" i="4"/>
  <c r="D20" i="5" l="1"/>
  <c r="N37" i="5"/>
  <c r="N27" i="5"/>
  <c r="M13" i="5" l="1"/>
  <c r="M11" i="5"/>
  <c r="M10" i="5"/>
  <c r="C10" i="5"/>
  <c r="N28" i="5"/>
  <c r="K5" i="5"/>
  <c r="L11" i="5" s="1"/>
  <c r="O11" i="5" l="1"/>
  <c r="N11" i="5"/>
  <c r="L13" i="5"/>
  <c r="O12" i="5" l="1"/>
  <c r="N12" i="5"/>
  <c r="D19" i="5" l="1"/>
  <c r="N44" i="5" s="1"/>
  <c r="N45" i="5"/>
  <c r="G29" i="4" l="1"/>
  <c r="G30" i="4"/>
  <c r="G31" i="4"/>
  <c r="G28" i="4"/>
  <c r="N29" i="4"/>
  <c r="N24" i="3" l="1"/>
  <c r="N30" i="1" l="1"/>
  <c r="N29" i="1"/>
  <c r="G26" i="1"/>
  <c r="G27" i="1"/>
  <c r="G28" i="1"/>
  <c r="G25" i="1"/>
  <c r="G24" i="1"/>
  <c r="N24" i="1"/>
  <c r="M17" i="1"/>
  <c r="M16" i="1"/>
  <c r="M13" i="1"/>
  <c r="M11" i="1"/>
  <c r="L16" i="1"/>
  <c r="K6" i="1"/>
  <c r="K5" i="1"/>
  <c r="D5" i="1" s="1"/>
  <c r="C20" i="1"/>
  <c r="L10" i="1" l="1"/>
  <c r="E24" i="1"/>
  <c r="F27" i="1"/>
  <c r="F25" i="1"/>
  <c r="F28" i="1"/>
  <c r="F26" i="1"/>
  <c r="F24" i="1"/>
  <c r="O16" i="1"/>
  <c r="L15" i="1"/>
  <c r="M15" i="1" s="1"/>
  <c r="L11" i="1"/>
  <c r="O11" i="1" s="1"/>
  <c r="L14" i="1"/>
  <c r="M14" i="1" s="1"/>
  <c r="N34" i="3"/>
  <c r="N26" i="1" l="1"/>
  <c r="L17" i="1"/>
  <c r="O14" i="1"/>
  <c r="I28" i="1"/>
  <c r="I27" i="1"/>
  <c r="I26" i="1"/>
  <c r="I25" i="1"/>
  <c r="D5" i="4" l="1"/>
  <c r="H25" i="1"/>
  <c r="H27" i="1"/>
  <c r="H26" i="1"/>
  <c r="H28" i="1"/>
  <c r="N32" i="4"/>
  <c r="N28" i="4"/>
  <c r="N27" i="4"/>
  <c r="N26" i="4"/>
  <c r="N25" i="4"/>
  <c r="N24" i="4"/>
  <c r="N23" i="4"/>
  <c r="L17" i="4" l="1"/>
  <c r="L12" i="4"/>
  <c r="L11" i="4"/>
  <c r="C23" i="4"/>
  <c r="G27" i="4"/>
  <c r="I31" i="4"/>
  <c r="I30" i="4"/>
  <c r="I29" i="4"/>
  <c r="I28" i="4"/>
  <c r="N36" i="3"/>
  <c r="N25" i="3"/>
  <c r="N23" i="3"/>
  <c r="N22" i="3"/>
  <c r="N21" i="3"/>
  <c r="D5" i="5" l="1"/>
  <c r="D17" i="5"/>
  <c r="N31" i="5" s="1"/>
  <c r="L13" i="4"/>
  <c r="L14" i="4"/>
  <c r="L16" i="4"/>
  <c r="F28" i="4"/>
  <c r="H28" i="4" s="1"/>
  <c r="F30" i="4"/>
  <c r="H30" i="4" s="1"/>
  <c r="F27" i="4"/>
  <c r="F29" i="4"/>
  <c r="H29" i="4" s="1"/>
  <c r="F31" i="4"/>
  <c r="L14" i="3"/>
  <c r="M13" i="3"/>
  <c r="M10" i="3"/>
  <c r="I32" i="3"/>
  <c r="I31" i="3"/>
  <c r="I30" i="3"/>
  <c r="I29" i="3"/>
  <c r="C24" i="3"/>
  <c r="G32" i="3"/>
  <c r="G31" i="3"/>
  <c r="G30" i="3"/>
  <c r="G29" i="3"/>
  <c r="G28" i="3"/>
  <c r="N26" i="5" l="1"/>
  <c r="N31" i="3"/>
  <c r="H31" i="4"/>
  <c r="N43" i="5" l="1"/>
  <c r="N39" i="5"/>
  <c r="N38" i="5"/>
  <c r="N30" i="5"/>
  <c r="N29" i="5"/>
  <c r="K6" i="5" l="1"/>
  <c r="D6" i="5" s="1"/>
  <c r="L16" i="5" l="1"/>
  <c r="I34" i="5"/>
  <c r="I35" i="5"/>
  <c r="I36" i="5"/>
  <c r="I37" i="5"/>
  <c r="G34" i="5"/>
  <c r="G35" i="5"/>
  <c r="C29" i="5"/>
  <c r="D29" i="5" s="1"/>
  <c r="N33" i="5" l="1"/>
  <c r="G37" i="5"/>
  <c r="N23" i="5"/>
  <c r="N25" i="5" s="1"/>
  <c r="M15" i="5"/>
  <c r="M16" i="5" s="1"/>
  <c r="O16" i="5" s="1"/>
  <c r="M14" i="5"/>
  <c r="G36" i="5"/>
  <c r="G33" i="5"/>
  <c r="N24" i="5" l="1"/>
  <c r="N32" i="5"/>
  <c r="N39" i="4" l="1"/>
  <c r="L14" i="5" l="1"/>
  <c r="O14" i="5" s="1"/>
  <c r="N14" i="5" l="1"/>
  <c r="F34" i="5"/>
  <c r="F36" i="5"/>
  <c r="F33" i="5"/>
  <c r="F35" i="5"/>
  <c r="F37" i="5"/>
  <c r="D6" i="1"/>
  <c r="K6" i="3"/>
  <c r="D6" i="3" s="1"/>
  <c r="D6" i="4" l="1"/>
  <c r="L10" i="4"/>
  <c r="E27" i="4"/>
  <c r="E28" i="3"/>
  <c r="L10" i="3"/>
  <c r="N32" i="3" s="1"/>
  <c r="L10" i="5"/>
  <c r="E33" i="5"/>
  <c r="N36" i="5" s="1"/>
  <c r="M12" i="1"/>
  <c r="N25" i="1" s="1"/>
  <c r="M10" i="1"/>
  <c r="N31" i="1" s="1"/>
  <c r="N32" i="1" l="1"/>
  <c r="N28" i="1"/>
  <c r="N27" i="1"/>
  <c r="I24" i="1"/>
  <c r="H24" i="1"/>
  <c r="H29" i="1" s="1"/>
  <c r="N33" i="3"/>
  <c r="N16" i="1"/>
  <c r="N33" i="4"/>
  <c r="N34" i="4"/>
  <c r="H27" i="4"/>
  <c r="H32" i="4" s="1"/>
  <c r="I27" i="4"/>
  <c r="I28" i="3"/>
  <c r="C38" i="3" s="1"/>
  <c r="I33" i="5"/>
  <c r="C43" i="5" s="1"/>
  <c r="N35" i="5"/>
  <c r="N41" i="5"/>
  <c r="N40" i="5"/>
  <c r="L12" i="1"/>
  <c r="L13" i="1"/>
  <c r="N13" i="1" l="1"/>
  <c r="O13" i="1"/>
  <c r="N12" i="1"/>
  <c r="O12" i="1"/>
  <c r="C30" i="1"/>
  <c r="E30" i="1" s="1"/>
  <c r="C34" i="1"/>
  <c r="C37" i="4"/>
  <c r="C33" i="4"/>
  <c r="E33" i="4" s="1"/>
  <c r="C34" i="3"/>
  <c r="E34" i="3" s="1"/>
  <c r="N42" i="5"/>
  <c r="H36" i="5"/>
  <c r="H37" i="5"/>
  <c r="H35" i="5"/>
  <c r="C39" i="5"/>
  <c r="D39" i="5" s="1"/>
  <c r="H34" i="5"/>
  <c r="H33" i="5"/>
  <c r="N14" i="1"/>
  <c r="N11" i="1"/>
  <c r="N26" i="3"/>
  <c r="N30" i="3" s="1"/>
  <c r="F30" i="3" l="1"/>
  <c r="F32" i="3"/>
  <c r="H32" i="3" s="1"/>
  <c r="F29" i="3"/>
  <c r="H29" i="3" s="1"/>
  <c r="F31" i="3"/>
  <c r="H31" i="3" s="1"/>
  <c r="F28" i="3"/>
  <c r="H38" i="5"/>
  <c r="O17" i="1"/>
  <c r="N17" i="1"/>
  <c r="L13" i="3"/>
  <c r="M13" i="4"/>
  <c r="O13" i="4" s="1"/>
  <c r="M12" i="4"/>
  <c r="M10" i="4"/>
  <c r="M17" i="4"/>
  <c r="O17" i="4" s="1"/>
  <c r="M16" i="4"/>
  <c r="M15" i="4"/>
  <c r="M14" i="4"/>
  <c r="N30" i="4"/>
  <c r="N35" i="4" l="1"/>
  <c r="H30" i="3"/>
  <c r="N27" i="3"/>
  <c r="O16" i="4"/>
  <c r="O14" i="4"/>
  <c r="H28" i="3"/>
  <c r="N28" i="3"/>
  <c r="N13" i="3"/>
  <c r="O13" i="3"/>
  <c r="H33" i="3" l="1"/>
  <c r="M14" i="3"/>
  <c r="O14" i="3" s="1"/>
  <c r="N16" i="5" l="1"/>
  <c r="M11" i="4"/>
  <c r="O11" i="4" s="1"/>
  <c r="N12" i="4"/>
  <c r="N31" i="4"/>
  <c r="O10" i="4"/>
  <c r="O12" i="4" l="1"/>
  <c r="N11" i="4"/>
  <c r="N17" i="4"/>
  <c r="N14" i="3"/>
  <c r="O10" i="5"/>
  <c r="O10" i="1"/>
  <c r="O10" i="3"/>
  <c r="L12" i="3"/>
  <c r="L15" i="5"/>
  <c r="O15" i="5" s="1"/>
  <c r="L15" i="4"/>
  <c r="O15" i="4" s="1"/>
  <c r="L11" i="3"/>
  <c r="N11" i="3" l="1"/>
  <c r="O11" i="3"/>
  <c r="N12" i="3"/>
  <c r="O12" i="3"/>
  <c r="N14" i="4"/>
  <c r="N15" i="4"/>
  <c r="N13" i="4"/>
  <c r="N16" i="4"/>
  <c r="N15" i="5"/>
</calcChain>
</file>

<file path=xl/sharedStrings.xml><?xml version="1.0" encoding="utf-8"?>
<sst xmlns="http://schemas.openxmlformats.org/spreadsheetml/2006/main" count="580" uniqueCount="217">
  <si>
    <t>наименование</t>
  </si>
  <si>
    <t>артикул</t>
  </si>
  <si>
    <t>вертикальный профиль</t>
  </si>
  <si>
    <t>рамка верхняя</t>
  </si>
  <si>
    <t>рамка нижняя</t>
  </si>
  <si>
    <t>рамка средняя</t>
  </si>
  <si>
    <t>критерий</t>
  </si>
  <si>
    <t>направляющая верхняя</t>
  </si>
  <si>
    <t>накладка декоративная</t>
  </si>
  <si>
    <t>профиль "П"</t>
  </si>
  <si>
    <t>размер</t>
  </si>
  <si>
    <t>количество</t>
  </si>
  <si>
    <t>деталей</t>
  </si>
  <si>
    <t>ЛДСП, 10 мм</t>
  </si>
  <si>
    <t>ЛДСП, 8 мм</t>
  </si>
  <si>
    <t>Стекло, зеркало 4 мм</t>
  </si>
  <si>
    <t>горизонтальные</t>
  </si>
  <si>
    <t>ЗАПОЛНИТЕ ИСХОДНЫЕ:</t>
  </si>
  <si>
    <t>значение</t>
  </si>
  <si>
    <t>высота перегородки:</t>
  </si>
  <si>
    <t>ширина перегородки:</t>
  </si>
  <si>
    <t>пояснения</t>
  </si>
  <si>
    <t>высота одной двери:</t>
  </si>
  <si>
    <t>ширина одной двери:</t>
  </si>
  <si>
    <t>ручка-рейлинг</t>
  </si>
  <si>
    <t>высота створки двери:</t>
  </si>
  <si>
    <t>ширина створки двери:</t>
  </si>
  <si>
    <t>высота двери:</t>
  </si>
  <si>
    <t>ширина двери:</t>
  </si>
  <si>
    <t>ОТВЕРСТИЯ ПОД СБОРОЧНЫЕ ВИНТЫ:</t>
  </si>
  <si>
    <t>не более двух</t>
  </si>
  <si>
    <t>Механизм последовательного открывания левый</t>
  </si>
  <si>
    <t>Механизм синхронного открывания</t>
  </si>
  <si>
    <t>кол-во хлыстов</t>
  </si>
  <si>
    <t xml:space="preserve">Венге темный </t>
  </si>
  <si>
    <t>Дуб белый</t>
  </si>
  <si>
    <t>Держатель ручки-рейлинг</t>
  </si>
  <si>
    <t>Доводчик для подвесной системы</t>
  </si>
  <si>
    <t>Заглушка для ручки-рейлинг</t>
  </si>
  <si>
    <t xml:space="preserve">Механизм последовательного открывания правый </t>
  </si>
  <si>
    <t>Механизм распашной, шкафной</t>
  </si>
  <si>
    <t xml:space="preserve">Ножка регулируемая </t>
  </si>
  <si>
    <t>Ограничитель складной двери</t>
  </si>
  <si>
    <t xml:space="preserve">Опора верхняя, неподвижная </t>
  </si>
  <si>
    <t>Петля</t>
  </si>
  <si>
    <t>Подвес верхней направляющей</t>
  </si>
  <si>
    <t>Ролик верхний складной системы</t>
  </si>
  <si>
    <t>Ролик нижний с площадкой</t>
  </si>
  <si>
    <t>Стопор распашного механизма</t>
  </si>
  <si>
    <t>Стопор для подвесной системы</t>
  </si>
  <si>
    <t>Стопор для складной системы</t>
  </si>
  <si>
    <t>Уплотнитель полиуретановый</t>
  </si>
  <si>
    <t>Расчет размеров, количества и стоимости для подвесной перегородки</t>
  </si>
  <si>
    <t>цена 1 кв.м.</t>
  </si>
  <si>
    <t xml:space="preserve">Общая стоимость наполнения:   </t>
  </si>
  <si>
    <t>Заглушка дверная</t>
  </si>
  <si>
    <t>Уплотнитель П-образный 8 мм</t>
  </si>
  <si>
    <t>Уплотнитель резиновый 4 мм</t>
  </si>
  <si>
    <t>левое</t>
  </si>
  <si>
    <t>правое</t>
  </si>
  <si>
    <t>Опора нижняя, левая</t>
  </si>
  <si>
    <t xml:space="preserve">Опора нижняя, правая </t>
  </si>
  <si>
    <t>с однополозной направляющей</t>
  </si>
  <si>
    <t>с профилем "П" и декоративной накладкой</t>
  </si>
  <si>
    <t>на регулируемых ножках без профиля "П"</t>
  </si>
  <si>
    <t>с профилем "П" без декоративной накладки</t>
  </si>
  <si>
    <t>с профилем "П" и дек. накладкой совместно с подвесной системой</t>
  </si>
  <si>
    <t>не учитывается в варианте с подвесной системой</t>
  </si>
  <si>
    <t xml:space="preserve"> </t>
  </si>
  <si>
    <t>однодверная, настенная</t>
  </si>
  <si>
    <t>двухдверная, настенная</t>
  </si>
  <si>
    <t>двухдверная, в проем (шкаф-купе)</t>
  </si>
  <si>
    <t>да</t>
  </si>
  <si>
    <t>нет</t>
  </si>
  <si>
    <r>
      <t xml:space="preserve">РАЗМЕРЫ </t>
    </r>
    <r>
      <rPr>
        <b/>
        <sz val="12"/>
        <color rgb="FFC00000"/>
        <rFont val="Calibri"/>
        <family val="2"/>
        <charset val="204"/>
        <scheme val="minor"/>
      </rPr>
      <t>ОДНОЙ ДВЕРИ</t>
    </r>
    <r>
      <rPr>
        <b/>
        <sz val="12"/>
        <rFont val="Calibri"/>
        <family val="2"/>
        <charset val="204"/>
        <scheme val="minor"/>
      </rPr>
      <t>:</t>
    </r>
  </si>
  <si>
    <t>Расчет размеров, количества и стоимости для распашной перегородки</t>
  </si>
  <si>
    <t>Расчет размеров, количества и стоимости для стационарной перегородки</t>
  </si>
  <si>
    <t>Расчет размеров, количества и стоимости для складной перегородки</t>
  </si>
  <si>
    <t>общая длина деталей</t>
  </si>
  <si>
    <t>ВВОД ИСХОДНЫХ ДАННЫХ ДЛЯ РАСЧЁТА</t>
  </si>
  <si>
    <t>РЕЗУЛЬТАТ РАСЧЁТА</t>
  </si>
  <si>
    <t>последовательное открывание (перекрытие проема, откат дверей за проем)</t>
  </si>
  <si>
    <t>Количество вставок:</t>
  </si>
  <si>
    <t>Наполнение</t>
  </si>
  <si>
    <t>Материал</t>
  </si>
  <si>
    <t>Высота</t>
  </si>
  <si>
    <t>Ширина</t>
  </si>
  <si>
    <t>Вставка 1 (считается автоматически)</t>
  </si>
  <si>
    <t>Вставка 2</t>
  </si>
  <si>
    <t>Вставка 3</t>
  </si>
  <si>
    <t>Вставка 4</t>
  </si>
  <si>
    <t>Вставка 5 (низ двери)</t>
  </si>
  <si>
    <t>Не рекомендуем</t>
  </si>
  <si>
    <t>общее количество дверей</t>
  </si>
  <si>
    <t>Неверно внесены высоты вставок</t>
  </si>
  <si>
    <t>Верно внесены высоты вставок</t>
  </si>
  <si>
    <t>Ширина проема</t>
  </si>
  <si>
    <t>Высота проема</t>
  </si>
  <si>
    <t>Количество средних рамок</t>
  </si>
  <si>
    <t>Цвет профиля</t>
  </si>
  <si>
    <t>Вариант установки</t>
  </si>
  <si>
    <t>Количество дверей</t>
  </si>
  <si>
    <t>Последовательное открывание</t>
  </si>
  <si>
    <t>Ручка врезная</t>
  </si>
  <si>
    <t>Укажите высоту Вставки 5 (низ двери)</t>
  </si>
  <si>
    <t>Кол-во</t>
  </si>
  <si>
    <t>Стоимость</t>
  </si>
  <si>
    <t>Шлегель</t>
  </si>
  <si>
    <t>Механизм синхронного последовательного открывания</t>
  </si>
  <si>
    <t>синхронно открываются только две двери</t>
  </si>
  <si>
    <t>последовательное открывание (двери в проеме, одна дверь статичная)</t>
  </si>
  <si>
    <t>Черный матовый</t>
  </si>
  <si>
    <t>Белый матовый</t>
  </si>
  <si>
    <t>Защелка магнитная, возвратная с подставкой</t>
  </si>
  <si>
    <t>Защелка магнитная, невозвратная с подставкой</t>
  </si>
  <si>
    <t>с декоративной накладкой</t>
  </si>
  <si>
    <t>для двухдверной настенной и двухдверной совместно со стационарными</t>
  </si>
  <si>
    <t>двухдверная, в проем (совместно со стационарными перегородками)</t>
  </si>
  <si>
    <t>Механизм последовательного синхронного открывания</t>
  </si>
  <si>
    <t>Элемент, скрывающий отверстия</t>
  </si>
  <si>
    <t>Ограничитель складной</t>
  </si>
  <si>
    <t>Ролик верхний с креплением</t>
  </si>
  <si>
    <r>
      <t xml:space="preserve">Расстояние от края вертикального профиля до центра отверстия под сборочный винт равно </t>
    </r>
    <r>
      <rPr>
        <b/>
        <sz val="14"/>
        <color rgb="FFC00000"/>
        <rFont val="Calibri"/>
        <family val="2"/>
        <charset val="204"/>
        <scheme val="minor"/>
      </rPr>
      <t>17 мм</t>
    </r>
    <r>
      <rPr>
        <sz val="14"/>
        <color theme="1"/>
        <rFont val="Calibri"/>
        <family val="2"/>
        <charset val="204"/>
        <scheme val="minor"/>
      </rPr>
      <t xml:space="preserve">. Диаметры отверстий: внутренний равен </t>
    </r>
    <r>
      <rPr>
        <b/>
        <sz val="14"/>
        <color rgb="FFC00000"/>
        <rFont val="Calibri"/>
        <family val="2"/>
        <charset val="204"/>
        <scheme val="minor"/>
      </rPr>
      <t>5,5 мм</t>
    </r>
    <r>
      <rPr>
        <sz val="14"/>
        <color theme="1"/>
        <rFont val="Calibri"/>
        <family val="2"/>
        <charset val="204"/>
        <scheme val="minor"/>
      </rPr>
      <t xml:space="preserve">; внешний равен </t>
    </r>
    <r>
      <rPr>
        <b/>
        <sz val="14"/>
        <color rgb="FFC00000"/>
        <rFont val="Calibri"/>
        <family val="2"/>
        <charset val="204"/>
        <scheme val="minor"/>
      </rPr>
      <t>9 мм</t>
    </r>
    <r>
      <rPr>
        <sz val="14"/>
        <color theme="1"/>
        <rFont val="Calibri"/>
        <family val="2"/>
        <charset val="204"/>
        <scheme val="minor"/>
      </rPr>
      <t>.</t>
    </r>
  </si>
  <si>
    <t>Для расчёта размеров и количества комплектующих введите данные в таблицу:</t>
  </si>
  <si>
    <t>Прищепка</t>
  </si>
  <si>
    <t>Регулировочная пластина</t>
  </si>
  <si>
    <t>Замок для дверей в одной плоскости</t>
  </si>
  <si>
    <t>Замок для дверей в двух плоскостях</t>
  </si>
  <si>
    <t>для последовательного открывания</t>
  </si>
  <si>
    <t>необходима для выравнивания кривизны проема, максимально 20 шт</t>
  </si>
  <si>
    <t>Доводчик</t>
  </si>
  <si>
    <t>Oграничитель складной двери, серый</t>
  </si>
  <si>
    <t>Фиксирующий элемент</t>
  </si>
  <si>
    <t>Защелка магнитная, возвратная</t>
  </si>
  <si>
    <t>Защелка магнитная, невозвратная</t>
  </si>
  <si>
    <t>элемент, котрый фиксирует створку при закрывании</t>
  </si>
  <si>
    <t>Регулировочная пластина для нижнего ролика подвесной системы</t>
  </si>
  <si>
    <t>Регулировочная пластина для распашного механизма</t>
  </si>
  <si>
    <t>фиксируется на боковой поверхности профиля</t>
  </si>
  <si>
    <t>Длина ручки-рейлинг</t>
  </si>
  <si>
    <t>длина от 150 до высоты вертикального профиля</t>
  </si>
  <si>
    <t>Открывание двери</t>
  </si>
  <si>
    <t>указывается для одной двери</t>
  </si>
  <si>
    <r>
      <t xml:space="preserve">РАЗМЕРЫ </t>
    </r>
    <r>
      <rPr>
        <b/>
        <sz val="12"/>
        <color rgb="FFC00000"/>
        <rFont val="Calibri"/>
        <family val="2"/>
        <charset val="204"/>
        <scheme val="minor"/>
      </rPr>
      <t>ОДНОЙ СТВОРКИ</t>
    </r>
    <r>
      <rPr>
        <b/>
        <sz val="12"/>
        <rFont val="Calibri"/>
        <family val="2"/>
        <charset val="204"/>
        <scheme val="minor"/>
      </rPr>
      <t>:</t>
    </r>
  </si>
  <si>
    <t>не рекомендуем, ширина двери должна быть от 600 мм до 1200 мм</t>
  </si>
  <si>
    <t>допустимо</t>
  </si>
  <si>
    <t>невозможно установить, ширина двери должна быть не менее 650 мм</t>
  </si>
  <si>
    <t>Заглушка торцевая вертикального профиля</t>
  </si>
  <si>
    <t>не рекомендуем, высота двери до 3200 мм</t>
  </si>
  <si>
    <t>не рекомендуем, ширина створки двери от 300 мм до 600 мм</t>
  </si>
  <si>
    <t>не рекомендуем, ширина двери должна быть от 200 мм до 700 мм</t>
  </si>
  <si>
    <t>ФУРНИТУРА ДЛЯ ВСЕЙ ПЕРЕГОРОДКИ:</t>
  </si>
  <si>
    <t>ПРОФИЛИ ДЛЯ ВСЕЙ ПЕРЕГОРОДКИ:</t>
  </si>
  <si>
    <t>трехдверная, в проем (шкаф-купе)</t>
  </si>
  <si>
    <t>четырехдверная в проем (две синхро, две статичные)</t>
  </si>
  <si>
    <t>FA0413.VP540</t>
  </si>
  <si>
    <t>FA0450.VP500</t>
  </si>
  <si>
    <t>FA0408.AP500</t>
  </si>
  <si>
    <t>FA0412.VP500</t>
  </si>
  <si>
    <t>FA0410.VP500</t>
  </si>
  <si>
    <t>FA0682.VP508</t>
  </si>
  <si>
    <t>AS0460.VP540</t>
  </si>
  <si>
    <t>FX0010.VS000</t>
  </si>
  <si>
    <t>AA0075.VP000</t>
  </si>
  <si>
    <t>AA0098.VM100</t>
  </si>
  <si>
    <t>AA0084.VM100</t>
  </si>
  <si>
    <t>AS0053.VP000</t>
  </si>
  <si>
    <t>FF0002.VP000</t>
  </si>
  <si>
    <t>AA0104.VM100</t>
  </si>
  <si>
    <t>AA0956.VM150</t>
  </si>
  <si>
    <t>AA0040.VP000.IN0EP.CO</t>
  </si>
  <si>
    <t>FA0418.VP540</t>
  </si>
  <si>
    <t>FP0010.VS000</t>
  </si>
  <si>
    <t>FP0020.VP000</t>
  </si>
  <si>
    <t>AS0501.VS000</t>
  </si>
  <si>
    <t>AS0502.VS000</t>
  </si>
  <si>
    <t>FA0003.VP000</t>
  </si>
  <si>
    <t>FA0004.VR000</t>
  </si>
  <si>
    <t>FP0080.VR000</t>
  </si>
  <si>
    <t>FP0011.VP000</t>
  </si>
  <si>
    <t>FF0001.VP000</t>
  </si>
  <si>
    <t>FF0003.BP000</t>
  </si>
  <si>
    <t>FF0007.VP000</t>
  </si>
  <si>
    <t>FF0009.VP000</t>
  </si>
  <si>
    <t>FF0005.VP000</t>
  </si>
  <si>
    <t>FA0646.VP000</t>
  </si>
  <si>
    <t>AS0107.VP540</t>
  </si>
  <si>
    <t>FH0043.VP000</t>
  </si>
  <si>
    <t>Уголок заглушки направляющей</t>
  </si>
  <si>
    <t>FH0010.CR000</t>
  </si>
  <si>
    <t>FH0030.VS000</t>
  </si>
  <si>
    <t>FH0050.BR000</t>
  </si>
  <si>
    <t>FH0020.VP000</t>
  </si>
  <si>
    <t>FH0090.BS000</t>
  </si>
  <si>
    <t>FH0222.VP000</t>
  </si>
  <si>
    <t>FH0061.VP000</t>
  </si>
  <si>
    <t>FH0062.VP000</t>
  </si>
  <si>
    <t>FH0070.VP000</t>
  </si>
  <si>
    <t>FH0171.VP000</t>
  </si>
  <si>
    <t>Саморез 6×30</t>
  </si>
  <si>
    <t>Саморез 6×40</t>
  </si>
  <si>
    <t>FH0031.VP000</t>
  </si>
  <si>
    <t>FH0101.VP000</t>
  </si>
  <si>
    <t>FH0102.VP000</t>
  </si>
  <si>
    <t>FF0004.VP000</t>
  </si>
  <si>
    <t>Серебро матовое</t>
  </si>
  <si>
    <t>Слоновая кость</t>
  </si>
  <si>
    <t xml:space="preserve"> медь античная*</t>
  </si>
  <si>
    <t>сталь воронёная*</t>
  </si>
  <si>
    <t>Механизм поворотный регулируемый</t>
  </si>
  <si>
    <t>Механизм распашной</t>
  </si>
  <si>
    <t>Механизм регулируемый</t>
  </si>
  <si>
    <t>Выберите механизм</t>
  </si>
  <si>
    <t>распашной только для шкафов-купе</t>
  </si>
  <si>
    <t>FP0000.VS000</t>
  </si>
  <si>
    <t>фиксируется на боковой поверхности профиля,
для механизма регулируемого только шлегель или уплотнитель</t>
  </si>
  <si>
    <t>не рекомендуем, ширина двери должна быть от 200 мм до 900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</si>
</sst>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&quot; мм.&quot;"/>
    <numFmt numFmtId="165" formatCode="#,##0&quot; шт.&quot;"/>
    <numFmt numFmtId="166" formatCode="#,##0.00&quot;р.&quot;"/>
    <numFmt numFmtId="167" formatCode="#,##0.0&quot; мм.&quot;"/>
    <numFmt numFmtId="168" formatCode="#,##0&quot; комп.&quot;"/>
    <numFmt numFmtId="169" formatCode="#,##0.00\ &quot;р.&quot;"/>
    <numFmt numFmtId="170" formatCode="#,##0.00&quot; шт.&quot;"/>
    <numFmt numFmtId="171" formatCode="#,##0&quot; мм&quot;"/>
    <numFmt numFmtId="172" formatCode="#,##0&quot; м.&quot;"/>
  </numFmts>
  <fonts count="31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0"/>
      <color theme="6" tint="-0.499984740745262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rgb="FFFFFFFF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u/>
      <sz val="9"/>
      <color rgb="FFFF0000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4"/>
      <color theme="0"/>
      <name val="Calibri"/>
      <family val="2"/>
      <scheme val="minor"/>
    </font>
    <font>
      <sz val="14"/>
      <name val="Calibri"/>
      <family val="2"/>
      <charset val="204"/>
      <scheme val="minor"/>
    </font>
    <font>
      <sz val="12"/>
      <color rgb="FFC00000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  <font>
      <sz val="14"/>
      <color rgb="FFFFFFFF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7">
    <xf numFmtId="0" fontId="0" fillId="0" borderId="0"/>
    <xf numFmtId="0" fontId="6" fillId="0" borderId="0"/>
    <xf numFmtId="0" fontId="12" fillId="0" borderId="0" applyNumberForma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</cellStyleXfs>
  <cellXfs count="338">
    <xf numFmtId="0" fontId="0" fillId="0" borderId="0" xfId="0"/>
    <xf numFmtId="0" fontId="0" fillId="3" borderId="11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13" xfId="0" applyFill="1" applyBorder="1"/>
    <xf numFmtId="0" fontId="0" fillId="3" borderId="0" xfId="0" applyFill="1" applyBorder="1"/>
    <xf numFmtId="0" fontId="0" fillId="3" borderId="5" xfId="0" applyFill="1" applyBorder="1"/>
    <xf numFmtId="0" fontId="0" fillId="3" borderId="14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0" xfId="0" applyFill="1"/>
    <xf numFmtId="165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164" fontId="3" fillId="4" borderId="1" xfId="0" applyNumberFormat="1" applyFont="1" applyFill="1" applyBorder="1" applyAlignment="1" applyProtection="1">
      <alignment horizontal="center" vertical="center"/>
      <protection locked="0"/>
    </xf>
    <xf numFmtId="165" fontId="3" fillId="4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165" fontId="11" fillId="4" borderId="1" xfId="0" applyNumberFormat="1" applyFont="1" applyFill="1" applyBorder="1" applyAlignment="1" applyProtection="1">
      <alignment horizontal="center" vertical="center"/>
      <protection locked="0"/>
    </xf>
    <xf numFmtId="166" fontId="15" fillId="4" borderId="1" xfId="0" applyNumberFormat="1" applyFont="1" applyFill="1" applyBorder="1" applyAlignment="1" applyProtection="1">
      <alignment horizontal="center" vertical="center"/>
      <protection locked="0"/>
    </xf>
    <xf numFmtId="166" fontId="1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0" xfId="0" applyFill="1"/>
    <xf numFmtId="0" fontId="23" fillId="4" borderId="1" xfId="0" applyFont="1" applyFill="1" applyBorder="1" applyAlignment="1" applyProtection="1">
      <alignment vertical="center"/>
      <protection locked="0"/>
    </xf>
    <xf numFmtId="171" fontId="23" fillId="5" borderId="1" xfId="0" applyNumberFormat="1" applyFont="1" applyFill="1" applyBorder="1" applyAlignment="1" applyProtection="1">
      <alignment horizontal="center" vertical="center"/>
    </xf>
    <xf numFmtId="171" fontId="23" fillId="4" borderId="1" xfId="0" applyNumberFormat="1" applyFont="1" applyFill="1" applyBorder="1" applyAlignment="1" applyProtection="1">
      <alignment horizontal="center" vertical="center"/>
      <protection locked="0"/>
    </xf>
    <xf numFmtId="165" fontId="24" fillId="0" borderId="1" xfId="0" applyNumberFormat="1" applyFont="1" applyFill="1" applyBorder="1" applyAlignment="1" applyProtection="1">
      <alignment horizontal="center" vertical="center" wrapText="1"/>
    </xf>
    <xf numFmtId="165" fontId="15" fillId="4" borderId="8" xfId="0" applyNumberFormat="1" applyFont="1" applyFill="1" applyBorder="1" applyAlignment="1" applyProtection="1">
      <alignment horizontal="center" vertical="center"/>
      <protection locked="0"/>
    </xf>
    <xf numFmtId="165" fontId="15" fillId="4" borderId="1" xfId="0" applyNumberFormat="1" applyFont="1" applyFill="1" applyBorder="1" applyAlignment="1" applyProtection="1">
      <alignment horizontal="center" vertical="center"/>
      <protection locked="0"/>
    </xf>
    <xf numFmtId="166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15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15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left" vertical="center"/>
    </xf>
    <xf numFmtId="0" fontId="16" fillId="0" borderId="2" xfId="0" applyFont="1" applyBorder="1" applyAlignment="1" applyProtection="1">
      <alignment horizontal="left" vertical="center" wrapText="1"/>
    </xf>
    <xf numFmtId="0" fontId="26" fillId="0" borderId="28" xfId="0" applyFont="1" applyBorder="1" applyAlignment="1" applyProtection="1">
      <alignment horizontal="left" vertical="center"/>
    </xf>
    <xf numFmtId="166" fontId="3" fillId="4" borderId="15" xfId="0" applyNumberFormat="1" applyFont="1" applyFill="1" applyBorder="1" applyAlignment="1" applyProtection="1">
      <alignment horizontal="center" vertical="center"/>
      <protection locked="0"/>
    </xf>
    <xf numFmtId="167" fontId="0" fillId="0" borderId="0" xfId="0" applyNumberFormat="1" applyFill="1" applyBorder="1" applyAlignment="1" applyProtection="1">
      <alignment vertical="center"/>
    </xf>
    <xf numFmtId="164" fontId="0" fillId="0" borderId="0" xfId="0" applyNumberFormat="1" applyFill="1" applyBorder="1" applyAlignment="1" applyProtection="1">
      <alignment vertical="center"/>
    </xf>
    <xf numFmtId="0" fontId="17" fillId="2" borderId="2" xfId="0" applyFont="1" applyFill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right" vertical="center"/>
    </xf>
    <xf numFmtId="0" fontId="20" fillId="0" borderId="2" xfId="0" applyFont="1" applyBorder="1" applyAlignment="1" applyProtection="1">
      <alignment vertical="center"/>
    </xf>
    <xf numFmtId="164" fontId="11" fillId="0" borderId="1" xfId="0" applyNumberFormat="1" applyFont="1" applyBorder="1" applyAlignment="1" applyProtection="1">
      <alignment vertical="center"/>
    </xf>
    <xf numFmtId="0" fontId="17" fillId="2" borderId="1" xfId="0" applyFont="1" applyFill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vertical="center"/>
    </xf>
    <xf numFmtId="0" fontId="17" fillId="0" borderId="8" xfId="0" applyFont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164" fontId="8" fillId="4" borderId="1" xfId="0" applyNumberFormat="1" applyFont="1" applyFill="1" applyBorder="1" applyAlignment="1" applyProtection="1">
      <alignment horizontal="center" vertical="center"/>
      <protection locked="0"/>
    </xf>
    <xf numFmtId="165" fontId="8" fillId="4" borderId="1" xfId="0" applyNumberFormat="1" applyFont="1" applyFill="1" applyBorder="1" applyAlignment="1" applyProtection="1">
      <alignment horizontal="center" vertical="center"/>
      <protection locked="0"/>
    </xf>
    <xf numFmtId="166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164" fontId="15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165" fontId="3" fillId="0" borderId="0" xfId="0" applyNumberFormat="1" applyFont="1" applyFill="1" applyAlignment="1" applyProtection="1">
      <alignment vertical="center"/>
    </xf>
    <xf numFmtId="0" fontId="11" fillId="0" borderId="5" xfId="0" applyFont="1" applyFill="1" applyBorder="1" applyAlignment="1" applyProtection="1">
      <alignment horizontal="left" vertical="center"/>
    </xf>
    <xf numFmtId="0" fontId="17" fillId="0" borderId="0" xfId="0" applyFont="1" applyAlignment="1" applyProtection="1">
      <alignment vertical="center"/>
    </xf>
    <xf numFmtId="0" fontId="20" fillId="0" borderId="0" xfId="0" applyFont="1" applyFill="1" applyBorder="1" applyAlignment="1" applyProtection="1">
      <alignment horizontal="left" vertical="center"/>
    </xf>
    <xf numFmtId="0" fontId="26" fillId="0" borderId="2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7" fillId="2" borderId="6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26" fillId="0" borderId="2" xfId="0" applyFont="1" applyFill="1" applyBorder="1" applyAlignment="1" applyProtection="1">
      <alignment horizontal="left" vertical="center" wrapText="1"/>
    </xf>
    <xf numFmtId="0" fontId="20" fillId="0" borderId="2" xfId="0" applyFont="1" applyFill="1" applyBorder="1" applyAlignment="1" applyProtection="1">
      <alignment horizontal="left" vertical="center" wrapText="1"/>
    </xf>
    <xf numFmtId="0" fontId="26" fillId="0" borderId="2" xfId="0" applyFont="1" applyBorder="1" applyAlignment="1" applyProtection="1">
      <alignment horizontal="left" vertical="center"/>
    </xf>
    <xf numFmtId="0" fontId="26" fillId="0" borderId="2" xfId="0" applyFont="1" applyBorder="1" applyAlignment="1" applyProtection="1">
      <alignment horizontal="left" vertical="center" wrapText="1"/>
    </xf>
    <xf numFmtId="0" fontId="20" fillId="0" borderId="2" xfId="0" applyFont="1" applyBorder="1" applyAlignment="1" applyProtection="1">
      <alignment horizontal="left" vertical="center" wrapText="1"/>
    </xf>
    <xf numFmtId="0" fontId="26" fillId="0" borderId="7" xfId="0" applyFont="1" applyBorder="1" applyAlignment="1" applyProtection="1">
      <alignment horizontal="left" vertical="center"/>
    </xf>
    <xf numFmtId="165" fontId="0" fillId="0" borderId="0" xfId="0" applyNumberFormat="1" applyAlignment="1" applyProtection="1">
      <alignment vertical="center"/>
    </xf>
    <xf numFmtId="166" fontId="15" fillId="0" borderId="0" xfId="0" applyNumberFormat="1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top"/>
    </xf>
    <xf numFmtId="0" fontId="23" fillId="0" borderId="0" xfId="0" applyFont="1" applyAlignment="1" applyProtection="1">
      <alignment horizontal="left" vertical="top"/>
    </xf>
    <xf numFmtId="0" fontId="23" fillId="0" borderId="11" xfId="0" applyFont="1" applyBorder="1" applyAlignment="1" applyProtection="1">
      <alignment vertical="center"/>
    </xf>
    <xf numFmtId="0" fontId="23" fillId="0" borderId="3" xfId="0" applyFont="1" applyBorder="1" applyAlignment="1" applyProtection="1">
      <alignment vertical="center"/>
    </xf>
    <xf numFmtId="0" fontId="23" fillId="0" borderId="4" xfId="0" applyFont="1" applyBorder="1" applyAlignment="1" applyProtection="1">
      <alignment vertical="center"/>
    </xf>
    <xf numFmtId="0" fontId="23" fillId="0" borderId="13" xfId="0" applyFont="1" applyBorder="1" applyAlignment="1" applyProtection="1">
      <alignment horizontal="right"/>
    </xf>
    <xf numFmtId="165" fontId="23" fillId="2" borderId="21" xfId="0" applyNumberFormat="1" applyFont="1" applyFill="1" applyBorder="1" applyAlignment="1" applyProtection="1">
      <alignment horizontal="center" vertical="center"/>
    </xf>
    <xf numFmtId="0" fontId="23" fillId="0" borderId="13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right" vertical="center"/>
    </xf>
    <xf numFmtId="0" fontId="23" fillId="0" borderId="13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0" fontId="23" fillId="0" borderId="5" xfId="0" applyFont="1" applyBorder="1" applyAlignment="1" applyProtection="1">
      <alignment vertical="center"/>
    </xf>
    <xf numFmtId="0" fontId="23" fillId="0" borderId="2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vertical="center"/>
    </xf>
    <xf numFmtId="171" fontId="23" fillId="0" borderId="1" xfId="0" applyNumberFormat="1" applyFont="1" applyBorder="1" applyAlignment="1" applyProtection="1">
      <alignment horizontal="center" vertical="center"/>
    </xf>
    <xf numFmtId="165" fontId="23" fillId="0" borderId="1" xfId="0" applyNumberFormat="1" applyFont="1" applyBorder="1" applyAlignment="1" applyProtection="1">
      <alignment horizontal="center" vertical="center"/>
    </xf>
    <xf numFmtId="166" fontId="16" fillId="0" borderId="6" xfId="0" applyNumberFormat="1" applyFont="1" applyBorder="1" applyAlignment="1" applyProtection="1">
      <alignment horizontal="right" vertical="center"/>
    </xf>
    <xf numFmtId="0" fontId="25" fillId="0" borderId="0" xfId="0" applyFont="1" applyFill="1" applyAlignment="1" applyProtection="1">
      <alignment vertical="center"/>
    </xf>
    <xf numFmtId="169" fontId="0" fillId="0" borderId="0" xfId="0" applyNumberFormat="1" applyFill="1" applyBorder="1" applyAlignment="1" applyProtection="1">
      <alignment vertical="center"/>
    </xf>
    <xf numFmtId="169" fontId="0" fillId="0" borderId="5" xfId="0" applyNumberFormat="1" applyFill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8" fillId="0" borderId="2" xfId="0" applyFont="1" applyBorder="1" applyAlignment="1" applyProtection="1">
      <alignment vertical="center"/>
    </xf>
    <xf numFmtId="169" fontId="16" fillId="0" borderId="21" xfId="0" applyNumberFormat="1" applyFont="1" applyBorder="1" applyAlignment="1" applyProtection="1">
      <alignment horizontal="right" vertical="center"/>
    </xf>
    <xf numFmtId="0" fontId="23" fillId="0" borderId="1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3" fillId="0" borderId="0" xfId="0" applyFont="1" applyFill="1" applyBorder="1" applyAlignment="1" applyProtection="1">
      <alignment vertical="center"/>
    </xf>
    <xf numFmtId="0" fontId="23" fillId="0" borderId="0" xfId="0" applyFont="1" applyBorder="1" applyAlignment="1" applyProtection="1">
      <alignment horizontal="left" vertical="center"/>
    </xf>
    <xf numFmtId="0" fontId="23" fillId="0" borderId="13" xfId="0" applyFont="1" applyBorder="1" applyProtection="1"/>
    <xf numFmtId="0" fontId="23" fillId="0" borderId="0" xfId="0" applyFont="1" applyBorder="1" applyProtection="1"/>
    <xf numFmtId="169" fontId="16" fillId="0" borderId="0" xfId="0" applyNumberFormat="1" applyFont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23" fillId="0" borderId="0" xfId="0" applyFont="1" applyProtection="1"/>
    <xf numFmtId="0" fontId="23" fillId="0" borderId="14" xfId="0" applyFont="1" applyBorder="1" applyProtection="1"/>
    <xf numFmtId="0" fontId="23" fillId="0" borderId="9" xfId="0" applyFont="1" applyBorder="1" applyProtection="1"/>
    <xf numFmtId="0" fontId="23" fillId="0" borderId="9" xfId="0" applyFont="1" applyBorder="1" applyAlignment="1" applyProtection="1">
      <alignment horizontal="center" vertical="center"/>
    </xf>
    <xf numFmtId="0" fontId="23" fillId="0" borderId="10" xfId="0" applyFont="1" applyBorder="1" applyAlignment="1" applyProtection="1">
      <alignment horizontal="center" vertical="center"/>
    </xf>
    <xf numFmtId="166" fontId="16" fillId="4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left" vertical="center" wrapText="1"/>
    </xf>
    <xf numFmtId="0" fontId="17" fillId="2" borderId="19" xfId="0" applyFont="1" applyFill="1" applyBorder="1" applyAlignment="1" applyProtection="1">
      <alignment horizontal="center" vertical="center"/>
    </xf>
    <xf numFmtId="0" fontId="23" fillId="0" borderId="13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vertical="center"/>
    </xf>
    <xf numFmtId="166" fontId="0" fillId="0" borderId="0" xfId="0" applyNumberFormat="1" applyFill="1" applyBorder="1" applyAlignment="1" applyProtection="1">
      <alignment vertical="center"/>
    </xf>
    <xf numFmtId="165" fontId="0" fillId="0" borderId="0" xfId="0" applyNumberFormat="1" applyFill="1" applyBorder="1" applyAlignment="1" applyProtection="1">
      <alignment vertical="center"/>
    </xf>
    <xf numFmtId="169" fontId="15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165" fontId="3" fillId="0" borderId="0" xfId="0" applyNumberFormat="1" applyFont="1" applyAlignment="1" applyProtection="1">
      <alignment vertical="center"/>
    </xf>
    <xf numFmtId="0" fontId="20" fillId="0" borderId="2" xfId="0" applyFont="1" applyFill="1" applyBorder="1" applyAlignment="1" applyProtection="1">
      <alignment horizontal="right" vertical="center"/>
    </xf>
    <xf numFmtId="164" fontId="11" fillId="0" borderId="1" xfId="0" applyNumberFormat="1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0" fontId="0" fillId="0" borderId="13" xfId="0" applyFill="1" applyBorder="1" applyAlignment="1" applyProtection="1">
      <alignment vertical="center"/>
    </xf>
    <xf numFmtId="0" fontId="20" fillId="0" borderId="28" xfId="0" applyFont="1" applyBorder="1" applyAlignment="1" applyProtection="1">
      <alignment horizontal="left" vertical="center" wrapText="1"/>
    </xf>
    <xf numFmtId="0" fontId="26" fillId="0" borderId="7" xfId="0" applyFont="1" applyBorder="1" applyAlignment="1" applyProtection="1">
      <alignment horizontal="left" vertical="center" wrapText="1"/>
    </xf>
    <xf numFmtId="0" fontId="1" fillId="0" borderId="13" xfId="0" applyFont="1" applyFill="1" applyBorder="1" applyAlignment="1" applyProtection="1">
      <alignment horizontal="center" vertical="center"/>
    </xf>
    <xf numFmtId="167" fontId="0" fillId="0" borderId="5" xfId="0" applyNumberFormat="1" applyFill="1" applyBorder="1" applyAlignment="1" applyProtection="1">
      <alignment vertical="center"/>
    </xf>
    <xf numFmtId="0" fontId="0" fillId="0" borderId="14" xfId="0" applyFill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6" fillId="2" borderId="2" xfId="0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165" fontId="3" fillId="0" borderId="0" xfId="0" applyNumberFormat="1" applyFont="1" applyBorder="1" applyAlignment="1" applyProtection="1">
      <alignment vertical="center"/>
    </xf>
    <xf numFmtId="0" fontId="17" fillId="2" borderId="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vertical="center" wrapText="1"/>
    </xf>
    <xf numFmtId="0" fontId="17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vertical="center"/>
    </xf>
    <xf numFmtId="0" fontId="18" fillId="0" borderId="5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vertical="center"/>
    </xf>
    <xf numFmtId="166" fontId="0" fillId="0" borderId="9" xfId="0" applyNumberForma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6" fillId="0" borderId="0" xfId="0" applyFont="1" applyFill="1" applyAlignment="1" applyProtection="1">
      <alignment vertical="center" wrapText="1"/>
    </xf>
    <xf numFmtId="0" fontId="30" fillId="0" borderId="1" xfId="0" applyFont="1" applyBorder="1" applyAlignment="1" applyProtection="1">
      <alignment horizontal="center" vertical="center"/>
    </xf>
    <xf numFmtId="0" fontId="30" fillId="0" borderId="8" xfId="0" applyFont="1" applyBorder="1" applyAlignment="1" applyProtection="1">
      <alignment horizontal="center" vertical="center"/>
    </xf>
    <xf numFmtId="164" fontId="17" fillId="0" borderId="1" xfId="0" applyNumberFormat="1" applyFont="1" applyFill="1" applyBorder="1" applyAlignment="1" applyProtection="1">
      <alignment horizontal="center" vertical="center"/>
    </xf>
    <xf numFmtId="165" fontId="17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164" fontId="20" fillId="0" borderId="1" xfId="0" applyNumberFormat="1" applyFont="1" applyBorder="1" applyAlignment="1" applyProtection="1">
      <alignment horizontal="center" vertical="center"/>
    </xf>
    <xf numFmtId="165" fontId="20" fillId="0" borderId="1" xfId="0" applyNumberFormat="1" applyFont="1" applyBorder="1" applyAlignment="1" applyProtection="1">
      <alignment horizontal="center" vertical="center"/>
    </xf>
    <xf numFmtId="171" fontId="0" fillId="0" borderId="1" xfId="0" applyNumberFormat="1" applyBorder="1" applyAlignment="1" applyProtection="1">
      <alignment horizontal="center" vertical="center"/>
    </xf>
    <xf numFmtId="164" fontId="5" fillId="0" borderId="1" xfId="0" applyNumberFormat="1" applyFont="1" applyBorder="1" applyAlignment="1" applyProtection="1">
      <alignment horizontal="center" vertical="center"/>
    </xf>
    <xf numFmtId="165" fontId="5" fillId="0" borderId="1" xfId="0" applyNumberFormat="1" applyFont="1" applyBorder="1" applyAlignment="1" applyProtection="1">
      <alignment horizontal="center" vertical="center"/>
    </xf>
    <xf numFmtId="164" fontId="0" fillId="0" borderId="8" xfId="0" applyNumberFormat="1" applyBorder="1" applyAlignment="1" applyProtection="1">
      <alignment horizontal="center" vertical="center"/>
    </xf>
    <xf numFmtId="164" fontId="0" fillId="0" borderId="1" xfId="0" applyNumberFormat="1" applyBorder="1" applyAlignment="1" applyProtection="1">
      <alignment horizontal="center" vertical="center"/>
    </xf>
    <xf numFmtId="165" fontId="0" fillId="0" borderId="1" xfId="0" applyNumberForma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166" fontId="16" fillId="0" borderId="35" xfId="0" applyNumberFormat="1" applyFont="1" applyBorder="1" applyAlignment="1" applyProtection="1">
      <alignment horizontal="right" vertical="center"/>
    </xf>
    <xf numFmtId="0" fontId="11" fillId="0" borderId="13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17" fillId="2" borderId="1" xfId="0" applyFont="1" applyFill="1" applyBorder="1" applyAlignment="1" applyProtection="1">
      <alignment horizontal="center" vertical="center"/>
    </xf>
    <xf numFmtId="0" fontId="17" fillId="2" borderId="6" xfId="0" applyFont="1" applyFill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left" vertical="center"/>
    </xf>
    <xf numFmtId="0" fontId="17" fillId="2" borderId="18" xfId="0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 applyProtection="1">
      <alignment horizontal="center" vertical="center"/>
    </xf>
    <xf numFmtId="0" fontId="20" fillId="0" borderId="2" xfId="0" applyFont="1" applyFill="1" applyBorder="1" applyAlignment="1" applyProtection="1">
      <alignment vertical="center"/>
    </xf>
    <xf numFmtId="164" fontId="17" fillId="0" borderId="1" xfId="0" applyNumberFormat="1" applyFont="1" applyBorder="1" applyAlignment="1" applyProtection="1">
      <alignment horizontal="center" vertical="center"/>
    </xf>
    <xf numFmtId="165" fontId="17" fillId="0" borderId="1" xfId="0" applyNumberFormat="1" applyFont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left" vertical="center"/>
    </xf>
    <xf numFmtId="0" fontId="11" fillId="0" borderId="42" xfId="0" applyFont="1" applyFill="1" applyBorder="1" applyAlignment="1" applyProtection="1">
      <alignment vertical="center"/>
    </xf>
    <xf numFmtId="170" fontId="17" fillId="0" borderId="6" xfId="0" applyNumberFormat="1" applyFont="1" applyBorder="1" applyAlignment="1" applyProtection="1">
      <alignment horizontal="center" vertical="center"/>
    </xf>
    <xf numFmtId="165" fontId="20" fillId="0" borderId="6" xfId="0" applyNumberFormat="1" applyFont="1" applyFill="1" applyBorder="1" applyAlignment="1" applyProtection="1">
      <alignment horizontal="center" vertical="center"/>
    </xf>
    <xf numFmtId="172" fontId="20" fillId="0" borderId="6" xfId="0" applyNumberFormat="1" applyFont="1" applyFill="1" applyBorder="1" applyAlignment="1" applyProtection="1">
      <alignment horizontal="center" vertical="center"/>
    </xf>
    <xf numFmtId="165" fontId="17" fillId="0" borderId="6" xfId="0" applyNumberFormat="1" applyFont="1" applyBorder="1" applyAlignment="1" applyProtection="1">
      <alignment horizontal="center" vertical="center"/>
    </xf>
    <xf numFmtId="172" fontId="20" fillId="0" borderId="6" xfId="1" applyNumberFormat="1" applyFont="1" applyFill="1" applyBorder="1" applyAlignment="1" applyProtection="1">
      <alignment horizontal="center" vertical="center"/>
    </xf>
    <xf numFmtId="165" fontId="20" fillId="0" borderId="12" xfId="1" applyNumberFormat="1" applyFont="1" applyFill="1" applyBorder="1" applyAlignment="1" applyProtection="1">
      <alignment horizontal="center" vertical="center"/>
    </xf>
    <xf numFmtId="0" fontId="29" fillId="0" borderId="5" xfId="0" applyFont="1" applyFill="1" applyBorder="1" applyAlignment="1" applyProtection="1">
      <alignment vertical="center"/>
    </xf>
    <xf numFmtId="170" fontId="17" fillId="0" borderId="6" xfId="0" applyNumberFormat="1" applyFont="1" applyFill="1" applyBorder="1" applyAlignment="1" applyProtection="1">
      <alignment horizontal="center" vertical="center"/>
    </xf>
    <xf numFmtId="168" fontId="20" fillId="0" borderId="6" xfId="0" applyNumberFormat="1" applyFont="1" applyFill="1" applyBorder="1" applyAlignment="1" applyProtection="1">
      <alignment horizontal="center" vertical="center"/>
    </xf>
    <xf numFmtId="165" fontId="17" fillId="0" borderId="6" xfId="0" applyNumberFormat="1" applyFont="1" applyFill="1" applyBorder="1" applyAlignment="1" applyProtection="1">
      <alignment horizontal="center" vertical="center"/>
    </xf>
    <xf numFmtId="165" fontId="20" fillId="0" borderId="6" xfId="1" applyNumberFormat="1" applyFont="1" applyFill="1" applyBorder="1" applyAlignment="1" applyProtection="1">
      <alignment horizontal="center" vertical="center"/>
    </xf>
    <xf numFmtId="165" fontId="20" fillId="0" borderId="38" xfId="1" applyNumberFormat="1" applyFont="1" applyFill="1" applyBorder="1" applyAlignment="1" applyProtection="1">
      <alignment horizontal="center" vertical="center"/>
    </xf>
    <xf numFmtId="165" fontId="17" fillId="0" borderId="12" xfId="0" applyNumberFormat="1" applyFont="1" applyBorder="1" applyAlignment="1" applyProtection="1">
      <alignment horizontal="center" vertical="center"/>
    </xf>
    <xf numFmtId="168" fontId="20" fillId="0" borderId="6" xfId="1" applyNumberFormat="1" applyFont="1" applyFill="1" applyBorder="1" applyAlignment="1" applyProtection="1">
      <alignment horizontal="center" vertical="center"/>
    </xf>
    <xf numFmtId="165" fontId="0" fillId="0" borderId="6" xfId="0" applyNumberFormat="1" applyBorder="1" applyAlignment="1" applyProtection="1">
      <alignment horizontal="center" vertical="center"/>
    </xf>
    <xf numFmtId="0" fontId="20" fillId="0" borderId="7" xfId="0" applyFont="1" applyBorder="1" applyAlignment="1" applyProtection="1">
      <alignment vertical="center"/>
    </xf>
    <xf numFmtId="0" fontId="20" fillId="0" borderId="8" xfId="0" applyFont="1" applyFill="1" applyBorder="1" applyAlignment="1" applyProtection="1">
      <alignment horizontal="center" vertical="center"/>
    </xf>
    <xf numFmtId="165" fontId="0" fillId="0" borderId="8" xfId="0" applyNumberFormat="1" applyBorder="1" applyAlignment="1" applyProtection="1">
      <alignment horizontal="center" vertical="center"/>
    </xf>
    <xf numFmtId="165" fontId="0" fillId="0" borderId="12" xfId="0" applyNumberFormat="1" applyBorder="1" applyAlignment="1" applyProtection="1">
      <alignment horizontal="center" vertical="center"/>
    </xf>
    <xf numFmtId="0" fontId="21" fillId="0" borderId="11" xfId="0" applyFont="1" applyFill="1" applyBorder="1" applyAlignment="1" applyProtection="1">
      <alignment horizontal="center" vertical="center"/>
    </xf>
    <xf numFmtId="0" fontId="21" fillId="0" borderId="3" xfId="0" applyFont="1" applyFill="1" applyBorder="1" applyAlignment="1" applyProtection="1">
      <alignment horizontal="center" vertical="center"/>
    </xf>
    <xf numFmtId="0" fontId="21" fillId="0" borderId="4" xfId="0" applyFont="1" applyFill="1" applyBorder="1" applyAlignment="1" applyProtection="1">
      <alignment horizontal="center" vertical="center"/>
    </xf>
    <xf numFmtId="0" fontId="8" fillId="0" borderId="32" xfId="0" applyFont="1" applyBorder="1" applyAlignment="1" applyProtection="1">
      <alignment horizontal="center" vertical="center"/>
    </xf>
    <xf numFmtId="0" fontId="8" fillId="0" borderId="33" xfId="0" applyFont="1" applyBorder="1" applyAlignment="1" applyProtection="1">
      <alignment horizontal="center" vertical="center"/>
    </xf>
    <xf numFmtId="0" fontId="21" fillId="0" borderId="13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5" xfId="0" applyFont="1" applyFill="1" applyBorder="1" applyAlignment="1" applyProtection="1">
      <alignment horizontal="center" vertical="center"/>
    </xf>
    <xf numFmtId="0" fontId="11" fillId="0" borderId="13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17" fillId="2" borderId="1" xfId="0" applyFont="1" applyFill="1" applyBorder="1" applyAlignment="1" applyProtection="1">
      <alignment horizontal="center" vertical="center"/>
    </xf>
    <xf numFmtId="0" fontId="17" fillId="2" borderId="20" xfId="0" applyFont="1" applyFill="1" applyBorder="1" applyAlignment="1" applyProtection="1">
      <alignment horizontal="center" vertical="center"/>
    </xf>
    <xf numFmtId="0" fontId="17" fillId="2" borderId="6" xfId="0" applyFont="1" applyFill="1" applyBorder="1" applyAlignment="1" applyProtection="1">
      <alignment horizontal="center" vertical="center"/>
    </xf>
    <xf numFmtId="165" fontId="0" fillId="0" borderId="35" xfId="0" applyNumberFormat="1" applyBorder="1" applyAlignment="1" applyProtection="1">
      <alignment horizontal="center" vertical="center"/>
    </xf>
    <xf numFmtId="165" fontId="0" fillId="0" borderId="39" xfId="0" applyNumberFormat="1" applyBorder="1" applyAlignment="1" applyProtection="1">
      <alignment horizontal="center" vertical="center"/>
    </xf>
    <xf numFmtId="0" fontId="20" fillId="0" borderId="20" xfId="0" applyFont="1" applyBorder="1" applyAlignment="1" applyProtection="1">
      <alignment horizontal="center" vertical="center" wrapText="1"/>
    </xf>
    <xf numFmtId="0" fontId="20" fillId="0" borderId="29" xfId="0" applyFont="1" applyBorder="1" applyAlignment="1" applyProtection="1">
      <alignment horizontal="center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9" fontId="16" fillId="0" borderId="9" xfId="0" applyNumberFormat="1" applyFont="1" applyBorder="1" applyAlignment="1" applyProtection="1">
      <alignment horizontal="right" vertical="center"/>
    </xf>
    <xf numFmtId="169" fontId="16" fillId="0" borderId="10" xfId="0" applyNumberFormat="1" applyFont="1" applyBorder="1" applyAlignment="1" applyProtection="1">
      <alignment horizontal="right" vertical="center"/>
    </xf>
    <xf numFmtId="164" fontId="0" fillId="0" borderId="15" xfId="0" applyNumberFormat="1" applyBorder="1" applyAlignment="1" applyProtection="1">
      <alignment horizontal="center" vertical="center"/>
    </xf>
    <xf numFmtId="164" fontId="0" fillId="0" borderId="16" xfId="0" applyNumberForma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/>
    </xf>
    <xf numFmtId="0" fontId="17" fillId="0" borderId="20" xfId="0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20" fillId="0" borderId="20" xfId="0" applyFont="1" applyBorder="1" applyAlignment="1" applyProtection="1">
      <alignment horizontal="center" vertical="center"/>
    </xf>
    <xf numFmtId="0" fontId="20" fillId="0" borderId="6" xfId="0" applyFont="1" applyBorder="1" applyAlignment="1" applyProtection="1">
      <alignment horizontal="center" vertical="center"/>
    </xf>
    <xf numFmtId="0" fontId="27" fillId="0" borderId="20" xfId="0" applyFont="1" applyBorder="1" applyAlignment="1" applyProtection="1">
      <alignment horizontal="center" vertical="center"/>
    </xf>
    <xf numFmtId="0" fontId="27" fillId="0" borderId="29" xfId="0" applyFont="1" applyBorder="1" applyAlignment="1" applyProtection="1">
      <alignment horizontal="center" vertical="center"/>
    </xf>
    <xf numFmtId="0" fontId="27" fillId="0" borderId="23" xfId="0" applyFont="1" applyBorder="1" applyAlignment="1" applyProtection="1">
      <alignment horizontal="center" vertical="center"/>
    </xf>
    <xf numFmtId="0" fontId="27" fillId="0" borderId="1" xfId="0" applyFont="1" applyBorder="1" applyAlignment="1" applyProtection="1">
      <alignment horizontal="center" vertical="center"/>
    </xf>
    <xf numFmtId="0" fontId="27" fillId="0" borderId="6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right" vertical="center"/>
    </xf>
    <xf numFmtId="0" fontId="17" fillId="0" borderId="2" xfId="0" applyFont="1" applyBorder="1" applyAlignment="1" applyProtection="1">
      <alignment vertical="center"/>
    </xf>
    <xf numFmtId="0" fontId="17" fillId="0" borderId="1" xfId="0" applyFont="1" applyBorder="1" applyAlignment="1" applyProtection="1">
      <alignment vertical="center"/>
    </xf>
    <xf numFmtId="0" fontId="17" fillId="0" borderId="36" xfId="0" applyFont="1" applyBorder="1" applyAlignment="1" applyProtection="1">
      <alignment horizontal="left" vertical="center"/>
    </xf>
    <xf numFmtId="0" fontId="17" fillId="0" borderId="29" xfId="0" applyFont="1" applyBorder="1" applyAlignment="1" applyProtection="1">
      <alignment horizontal="left" vertical="center"/>
    </xf>
    <xf numFmtId="0" fontId="17" fillId="0" borderId="34" xfId="0" applyFont="1" applyBorder="1" applyAlignment="1" applyProtection="1">
      <alignment horizontal="left" vertical="center"/>
    </xf>
    <xf numFmtId="0" fontId="17" fillId="0" borderId="36" xfId="0" applyFont="1" applyBorder="1" applyAlignment="1" applyProtection="1">
      <alignment vertical="center"/>
    </xf>
    <xf numFmtId="0" fontId="17" fillId="0" borderId="29" xfId="0" applyFont="1" applyBorder="1" applyAlignment="1" applyProtection="1">
      <alignment vertical="center"/>
    </xf>
    <xf numFmtId="0" fontId="17" fillId="0" borderId="34" xfId="0" applyFont="1" applyBorder="1" applyAlignment="1" applyProtection="1">
      <alignment vertical="center"/>
    </xf>
    <xf numFmtId="166" fontId="17" fillId="0" borderId="36" xfId="0" applyNumberFormat="1" applyFont="1" applyBorder="1" applyAlignment="1" applyProtection="1">
      <alignment horizontal="left" vertical="center"/>
    </xf>
    <xf numFmtId="166" fontId="17" fillId="0" borderId="29" xfId="0" applyNumberFormat="1" applyFont="1" applyBorder="1" applyAlignment="1" applyProtection="1">
      <alignment horizontal="left" vertical="center"/>
    </xf>
    <xf numFmtId="166" fontId="17" fillId="0" borderId="34" xfId="0" applyNumberFormat="1" applyFont="1" applyBorder="1" applyAlignment="1" applyProtection="1">
      <alignment horizontal="left" vertical="center"/>
    </xf>
    <xf numFmtId="166" fontId="17" fillId="0" borderId="43" xfId="0" applyNumberFormat="1" applyFont="1" applyBorder="1" applyAlignment="1" applyProtection="1">
      <alignment horizontal="left" vertical="center"/>
    </xf>
    <xf numFmtId="166" fontId="17" fillId="0" borderId="26" xfId="0" applyNumberFormat="1" applyFont="1" applyBorder="1" applyAlignment="1" applyProtection="1">
      <alignment horizontal="left" vertical="center"/>
    </xf>
    <xf numFmtId="166" fontId="17" fillId="0" borderId="40" xfId="0" applyNumberFormat="1" applyFont="1" applyBorder="1" applyAlignment="1" applyProtection="1">
      <alignment horizontal="left" vertical="center"/>
    </xf>
    <xf numFmtId="0" fontId="20" fillId="0" borderId="13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 vertical="center"/>
    </xf>
    <xf numFmtId="0" fontId="20" fillId="0" borderId="5" xfId="0" applyFont="1" applyBorder="1" applyAlignment="1" applyProtection="1">
      <alignment horizontal="right" vertical="center"/>
    </xf>
    <xf numFmtId="0" fontId="16" fillId="0" borderId="0" xfId="0" applyFont="1" applyAlignment="1" applyProtection="1">
      <alignment vertical="center" wrapText="1"/>
    </xf>
    <xf numFmtId="0" fontId="23" fillId="0" borderId="0" xfId="0" applyFont="1" applyBorder="1" applyAlignment="1" applyProtection="1">
      <alignment horizontal="right" vertical="center"/>
    </xf>
    <xf numFmtId="0" fontId="23" fillId="0" borderId="30" xfId="0" applyFont="1" applyBorder="1" applyAlignment="1" applyProtection="1">
      <alignment horizontal="right" vertical="center"/>
    </xf>
    <xf numFmtId="0" fontId="23" fillId="0" borderId="31" xfId="0" applyFont="1" applyBorder="1" applyAlignment="1" applyProtection="1">
      <alignment horizontal="right" vertical="center"/>
    </xf>
    <xf numFmtId="0" fontId="20" fillId="0" borderId="24" xfId="0" applyFont="1" applyBorder="1" applyAlignment="1" applyProtection="1">
      <alignment horizontal="center" vertical="center"/>
    </xf>
    <xf numFmtId="0" fontId="20" fillId="0" borderId="26" xfId="0" applyFont="1" applyBorder="1" applyAlignment="1" applyProtection="1">
      <alignment horizontal="center" vertical="center"/>
    </xf>
    <xf numFmtId="0" fontId="20" fillId="0" borderId="25" xfId="0" applyFont="1" applyBorder="1" applyAlignment="1" applyProtection="1">
      <alignment horizontal="center" vertical="center"/>
    </xf>
    <xf numFmtId="0" fontId="11" fillId="0" borderId="11" xfId="0" applyFont="1" applyFill="1" applyBorder="1" applyAlignment="1" applyProtection="1">
      <alignment horizontal="left" vertical="center"/>
    </xf>
    <xf numFmtId="0" fontId="11" fillId="0" borderId="3" xfId="0" applyFont="1" applyFill="1" applyBorder="1" applyAlignment="1" applyProtection="1">
      <alignment horizontal="left" vertical="center"/>
    </xf>
    <xf numFmtId="0" fontId="17" fillId="2" borderId="44" xfId="0" applyFont="1" applyFill="1" applyBorder="1" applyAlignment="1" applyProtection="1">
      <alignment horizontal="center" vertical="center"/>
    </xf>
    <xf numFmtId="0" fontId="17" fillId="2" borderId="45" xfId="0" applyFont="1" applyFill="1" applyBorder="1" applyAlignment="1" applyProtection="1">
      <alignment horizontal="center" vertical="center"/>
    </xf>
    <xf numFmtId="0" fontId="17" fillId="2" borderId="41" xfId="0" applyFont="1" applyFill="1" applyBorder="1" applyAlignment="1" applyProtection="1">
      <alignment horizontal="center" vertical="center"/>
    </xf>
    <xf numFmtId="0" fontId="20" fillId="0" borderId="29" xfId="0" applyFont="1" applyBorder="1" applyAlignment="1" applyProtection="1">
      <alignment horizontal="center" vertical="center"/>
    </xf>
    <xf numFmtId="0" fontId="20" fillId="0" borderId="23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 wrapText="1"/>
    </xf>
    <xf numFmtId="0" fontId="20" fillId="0" borderId="6" xfId="0" applyFont="1" applyBorder="1" applyAlignment="1" applyProtection="1">
      <alignment horizontal="center" vertical="center" wrapText="1"/>
    </xf>
    <xf numFmtId="0" fontId="8" fillId="0" borderId="22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17" fillId="2" borderId="17" xfId="0" applyFont="1" applyFill="1" applyBorder="1" applyAlignment="1" applyProtection="1">
      <alignment horizontal="center" vertical="center"/>
    </xf>
    <xf numFmtId="0" fontId="17" fillId="2" borderId="18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17" fillId="0" borderId="43" xfId="0" applyFont="1" applyBorder="1" applyAlignment="1" applyProtection="1">
      <alignment vertical="center"/>
    </xf>
    <xf numFmtId="0" fontId="17" fillId="0" borderId="26" xfId="0" applyFont="1" applyBorder="1" applyAlignment="1" applyProtection="1">
      <alignment vertical="center"/>
    </xf>
    <xf numFmtId="0" fontId="17" fillId="0" borderId="40" xfId="0" applyFont="1" applyBorder="1" applyAlignment="1" applyProtection="1">
      <alignment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10" xfId="0" applyFont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 wrapText="1"/>
    </xf>
    <xf numFmtId="0" fontId="20" fillId="0" borderId="1" xfId="0" applyFont="1" applyFill="1" applyBorder="1" applyAlignment="1" applyProtection="1">
      <alignment horizontal="center" vertical="center"/>
    </xf>
    <xf numFmtId="0" fontId="20" fillId="0" borderId="20" xfId="0" applyFont="1" applyFill="1" applyBorder="1" applyAlignment="1" applyProtection="1">
      <alignment horizontal="center" vertical="center"/>
    </xf>
    <xf numFmtId="0" fontId="20" fillId="0" borderId="6" xfId="0" applyFont="1" applyFill="1" applyBorder="1" applyAlignment="1" applyProtection="1">
      <alignment horizontal="center" vertical="center"/>
    </xf>
    <xf numFmtId="0" fontId="20" fillId="0" borderId="27" xfId="0" applyFont="1" applyBorder="1" applyAlignment="1" applyProtection="1">
      <alignment horizontal="center" vertical="center"/>
    </xf>
    <xf numFmtId="0" fontId="20" fillId="0" borderId="30" xfId="0" applyFont="1" applyBorder="1" applyAlignment="1" applyProtection="1">
      <alignment horizontal="center" vertical="center"/>
    </xf>
    <xf numFmtId="0" fontId="20" fillId="0" borderId="31" xfId="0" applyFont="1" applyBorder="1" applyAlignment="1" applyProtection="1">
      <alignment horizontal="center" vertical="center"/>
    </xf>
    <xf numFmtId="0" fontId="20" fillId="0" borderId="8" xfId="0" applyFont="1" applyBorder="1" applyAlignment="1" applyProtection="1">
      <alignment horizontal="center" vertical="center"/>
    </xf>
    <xf numFmtId="0" fontId="20" fillId="0" borderId="12" xfId="0" applyFont="1" applyBorder="1" applyAlignment="1" applyProtection="1">
      <alignment horizontal="center" vertical="center"/>
    </xf>
    <xf numFmtId="0" fontId="8" fillId="0" borderId="32" xfId="0" applyFont="1" applyFill="1" applyBorder="1" applyAlignment="1" applyProtection="1">
      <alignment horizontal="center" vertical="center"/>
    </xf>
    <xf numFmtId="0" fontId="8" fillId="0" borderId="33" xfId="0" applyFont="1" applyFill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0" fontId="17" fillId="0" borderId="20" xfId="0" applyFont="1" applyFill="1" applyBorder="1" applyAlignment="1" applyProtection="1">
      <alignment horizontal="center" vertical="center"/>
    </xf>
    <xf numFmtId="0" fontId="17" fillId="0" borderId="6" xfId="0" applyFont="1" applyFill="1" applyBorder="1" applyAlignment="1" applyProtection="1">
      <alignment horizontal="center" vertical="center"/>
    </xf>
    <xf numFmtId="166" fontId="17" fillId="0" borderId="2" xfId="0" applyNumberFormat="1" applyFont="1" applyBorder="1" applyAlignment="1" applyProtection="1">
      <alignment horizontal="left" vertical="center"/>
    </xf>
    <xf numFmtId="166" fontId="17" fillId="0" borderId="1" xfId="0" applyNumberFormat="1" applyFont="1" applyBorder="1" applyAlignment="1" applyProtection="1">
      <alignment horizontal="left" vertical="center"/>
    </xf>
    <xf numFmtId="0" fontId="20" fillId="0" borderId="2" xfId="0" applyFont="1" applyFill="1" applyBorder="1" applyAlignment="1" applyProtection="1">
      <alignment vertical="center"/>
    </xf>
    <xf numFmtId="0" fontId="20" fillId="0" borderId="1" xfId="0" applyFont="1" applyFill="1" applyBorder="1" applyAlignment="1" applyProtection="1">
      <alignment vertical="center"/>
    </xf>
    <xf numFmtId="0" fontId="17" fillId="0" borderId="2" xfId="0" applyFont="1" applyFill="1" applyBorder="1" applyAlignment="1" applyProtection="1">
      <alignment vertical="center"/>
    </xf>
    <xf numFmtId="0" fontId="17" fillId="0" borderId="1" xfId="0" applyFont="1" applyFill="1" applyBorder="1" applyAlignment="1" applyProtection="1">
      <alignment vertical="center"/>
    </xf>
    <xf numFmtId="166" fontId="17" fillId="0" borderId="14" xfId="0" applyNumberFormat="1" applyFont="1" applyBorder="1" applyAlignment="1" applyProtection="1">
      <alignment horizontal="left" vertical="center"/>
    </xf>
    <xf numFmtId="166" fontId="17" fillId="0" borderId="9" xfId="0" applyNumberFormat="1" applyFont="1" applyBorder="1" applyAlignment="1" applyProtection="1">
      <alignment horizontal="left" vertical="center"/>
    </xf>
    <xf numFmtId="166" fontId="17" fillId="0" borderId="37" xfId="0" applyNumberFormat="1" applyFont="1" applyBorder="1" applyAlignment="1" applyProtection="1">
      <alignment horizontal="left" vertical="center"/>
    </xf>
    <xf numFmtId="0" fontId="20" fillId="0" borderId="15" xfId="0" applyFont="1" applyBorder="1" applyAlignment="1" applyProtection="1">
      <alignment horizontal="center" vertical="center"/>
    </xf>
    <xf numFmtId="0" fontId="20" fillId="0" borderId="35" xfId="0" applyFont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left" vertical="center" wrapText="1"/>
    </xf>
    <xf numFmtId="170" fontId="17" fillId="0" borderId="35" xfId="0" applyNumberFormat="1" applyFont="1" applyBorder="1" applyAlignment="1" applyProtection="1">
      <alignment horizontal="center" vertical="center"/>
    </xf>
    <xf numFmtId="170" fontId="17" fillId="0" borderId="39" xfId="0" applyNumberFormat="1" applyFont="1" applyBorder="1" applyAlignment="1" applyProtection="1">
      <alignment horizontal="center" vertical="center"/>
    </xf>
    <xf numFmtId="164" fontId="17" fillId="0" borderId="15" xfId="0" applyNumberFormat="1" applyFont="1" applyFill="1" applyBorder="1" applyAlignment="1" applyProtection="1">
      <alignment horizontal="center" vertical="center"/>
    </xf>
    <xf numFmtId="164" fontId="17" fillId="0" borderId="16" xfId="0" applyNumberFormat="1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0" fontId="16" fillId="2" borderId="20" xfId="0" applyFont="1" applyFill="1" applyBorder="1" applyAlignment="1" applyProtection="1">
      <alignment horizontal="center" vertical="center"/>
    </xf>
    <xf numFmtId="0" fontId="16" fillId="2" borderId="6" xfId="0" applyFont="1" applyFill="1" applyBorder="1" applyAlignment="1" applyProtection="1">
      <alignment horizontal="center" vertical="center"/>
    </xf>
    <xf numFmtId="166" fontId="17" fillId="0" borderId="7" xfId="0" applyNumberFormat="1" applyFont="1" applyBorder="1" applyAlignment="1" applyProtection="1">
      <alignment horizontal="left" vertical="center"/>
    </xf>
    <xf numFmtId="166" fontId="17" fillId="0" borderId="8" xfId="0" applyNumberFormat="1" applyFont="1" applyBorder="1" applyAlignment="1" applyProtection="1">
      <alignment horizontal="left" vertical="center"/>
    </xf>
    <xf numFmtId="0" fontId="20" fillId="0" borderId="1" xfId="0" applyFont="1" applyFill="1" applyBorder="1" applyAlignment="1" applyProtection="1">
      <alignment horizontal="center" vertical="center" wrapText="1"/>
    </xf>
    <xf numFmtId="0" fontId="20" fillId="0" borderId="20" xfId="0" applyFont="1" applyFill="1" applyBorder="1" applyAlignment="1" applyProtection="1">
      <alignment horizontal="center" vertical="center" wrapText="1"/>
    </xf>
    <xf numFmtId="0" fontId="20" fillId="0" borderId="6" xfId="0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/>
    </xf>
    <xf numFmtId="0" fontId="27" fillId="0" borderId="20" xfId="0" applyFont="1" applyFill="1" applyBorder="1" applyAlignment="1" applyProtection="1">
      <alignment horizontal="center" vertical="center"/>
    </xf>
    <xf numFmtId="0" fontId="27" fillId="0" borderId="6" xfId="0" applyFont="1" applyFill="1" applyBorder="1" applyAlignment="1" applyProtection="1">
      <alignment horizontal="center" vertical="center"/>
    </xf>
    <xf numFmtId="0" fontId="23" fillId="0" borderId="20" xfId="0" applyFont="1" applyBorder="1" applyAlignment="1" applyProtection="1">
      <alignment horizontal="center" vertical="center"/>
    </xf>
    <xf numFmtId="0" fontId="23" fillId="0" borderId="34" xfId="0" applyFont="1" applyBorder="1" applyAlignment="1" applyProtection="1">
      <alignment horizontal="center" vertical="center"/>
    </xf>
  </cellXfs>
  <cellStyles count="7">
    <cellStyle name="Гиперссылка" xfId="2" builtinId="8"/>
    <cellStyle name="Обычный" xfId="0" builtinId="0"/>
    <cellStyle name="Обычный 2 2" xfId="6"/>
    <cellStyle name="Обычный 4" xfId="4"/>
    <cellStyle name="Обычный 4 2" xfId="5"/>
    <cellStyle name="Обычный 7" xfId="1"/>
    <cellStyle name="Процентный 2" xfId="3"/>
  </cellStyles>
  <dxfs count="117">
    <dxf>
      <font>
        <b/>
        <i val="0"/>
        <color rgb="FFC00000"/>
      </font>
    </dxf>
    <dxf>
      <font>
        <color theme="0"/>
      </font>
    </dxf>
    <dxf>
      <font>
        <b/>
        <i val="0"/>
        <color rgb="FFC00000"/>
      </font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FFFF"/>
      </font>
    </dxf>
    <dxf>
      <font>
        <color theme="0"/>
      </font>
    </dxf>
    <dxf>
      <fill>
        <patternFill>
          <bgColor rgb="FFFF0000"/>
        </patternFill>
      </fill>
    </dxf>
    <dxf>
      <font>
        <color rgb="FFC00000"/>
      </font>
    </dxf>
    <dxf>
      <font>
        <color rgb="FFFFFFFF"/>
      </font>
    </dxf>
    <dxf>
      <font>
        <color theme="0"/>
      </font>
    </dxf>
    <dxf>
      <font>
        <color rgb="FFFFFFFF"/>
      </font>
    </dxf>
    <dxf>
      <font>
        <color auto="1"/>
      </font>
      <fill>
        <patternFill patternType="solid">
          <bgColor rgb="FFFFFF00"/>
        </patternFill>
      </fill>
    </dxf>
    <dxf>
      <font>
        <color theme="0"/>
      </font>
    </dxf>
    <dxf>
      <font>
        <color theme="0"/>
      </font>
    </dxf>
    <dxf>
      <font>
        <color rgb="FFFFFFFF"/>
      </font>
    </dxf>
    <dxf>
      <font>
        <color auto="1"/>
      </font>
      <fill>
        <patternFill patternType="solid"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FF"/>
      </font>
    </dxf>
    <dxf>
      <font>
        <color auto="1"/>
      </font>
      <fill>
        <patternFill patternType="solid">
          <bgColor rgb="FFFFFF00"/>
        </patternFill>
      </fill>
    </dxf>
    <dxf>
      <font>
        <color rgb="FFFFFFFF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C00000"/>
      </font>
    </dxf>
    <dxf>
      <font>
        <color rgb="FFFFFF00"/>
      </font>
    </dxf>
    <dxf>
      <font>
        <b/>
        <i val="0"/>
        <color rgb="FFC00000"/>
      </font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FFFF"/>
      </font>
    </dxf>
    <dxf>
      <fill>
        <patternFill patternType="solid">
          <bgColor rgb="FFFFFF00"/>
        </patternFill>
      </fill>
    </dxf>
    <dxf>
      <font>
        <color theme="0"/>
      </font>
    </dxf>
    <dxf>
      <font>
        <b/>
        <i val="0"/>
        <color rgb="FFC0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ont>
        <b/>
        <i val="0"/>
        <color rgb="FFC00000"/>
      </font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rgb="FFC00000"/>
      </font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FF"/>
      </font>
    </dxf>
    <dxf>
      <font>
        <color auto="1"/>
      </font>
      <fill>
        <patternFill patternType="solid">
          <bgColor rgb="FFFFFF00"/>
        </patternFill>
      </fill>
    </dxf>
    <dxf>
      <font>
        <color rgb="FFFFFFFF"/>
      </font>
    </dxf>
    <dxf>
      <fill>
        <patternFill patternType="solid"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rgb="FFFFFFFF"/>
      </font>
    </dxf>
    <dxf>
      <font>
        <color rgb="FFFFFFFF"/>
      </font>
    </dxf>
    <dxf>
      <font>
        <color rgb="FFC00000"/>
      </font>
    </dxf>
    <dxf>
      <font>
        <color rgb="FFFFFFFF"/>
      </font>
    </dxf>
    <dxf>
      <fill>
        <patternFill patternType="solid"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ont>
        <color rgb="FFC00000"/>
      </font>
    </dxf>
    <dxf>
      <font>
        <color rgb="FFFFFFFF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  <fill>
        <patternFill patternType="solid">
          <bgColor rgb="FFFFFF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FFFF"/>
      <color rgb="FF008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1055;&#1086;&#1076;&#1074;&#1077;&#1089;&#1085;&#1072;&#1103;!C5"/><Relationship Id="rId2" Type="http://schemas.openxmlformats.org/officeDocument/2006/relationships/hyperlink" Target="#&#1056;&#1072;&#1089;&#1087;&#1072;&#1096;&#1085;&#1072;&#1103;!C6"/><Relationship Id="rId1" Type="http://schemas.openxmlformats.org/officeDocument/2006/relationships/hyperlink" Target="#&#1057;&#1090;&#1072;&#1094;&#1080;&#1086;&#1085;&#1072;&#1088;&#1085;&#1072;&#1103;!C6"/><Relationship Id="rId5" Type="http://schemas.openxmlformats.org/officeDocument/2006/relationships/hyperlink" Target="#&#1057;&#1082;&#1083;&#1072;&#1076;&#1085;&#1072;&#1103;!C6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45215</xdr:colOff>
      <xdr:row>11</xdr:row>
      <xdr:rowOff>107156</xdr:rowOff>
    </xdr:from>
    <xdr:ext cx="3780000" cy="342000"/>
    <xdr:sp macro="" textlink="">
      <xdr:nvSpPr>
        <xdr:cNvPr id="11" name="Прямоугольник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227629" y="2202656"/>
          <a:ext cx="3780000" cy="342000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1600" b="1" cap="none" spc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Стационарная </a:t>
          </a:r>
          <a:r>
            <a:rPr lang="ru-RU" sz="1600" b="1" cap="none" spc="0" baseline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перегородка (4в1)</a:t>
          </a:r>
          <a:endParaRPr lang="ru-RU" sz="1600" b="1" cap="none" spc="0">
            <a:ln w="17780" cmpd="sng">
              <a:noFill/>
              <a:prstDash val="solid"/>
              <a:miter lim="800000"/>
            </a:ln>
            <a:solidFill>
              <a:schemeClr val="bg1"/>
            </a:soli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2</xdr:col>
      <xdr:colOff>53153</xdr:colOff>
      <xdr:row>9</xdr:row>
      <xdr:rowOff>72185</xdr:rowOff>
    </xdr:from>
    <xdr:ext cx="3780000" cy="342786"/>
    <xdr:sp macro="" textlink="">
      <xdr:nvSpPr>
        <xdr:cNvPr id="12" name="Прямоугольник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235567" y="1786685"/>
          <a:ext cx="3780000" cy="342786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1600" b="1" cap="none" spc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Распашная перегородка (4в1)</a:t>
          </a:r>
        </a:p>
      </xdr:txBody>
    </xdr:sp>
    <xdr:clientData/>
  </xdr:oneCellAnchor>
  <xdr:oneCellAnchor>
    <xdr:from>
      <xdr:col>2</xdr:col>
      <xdr:colOff>53090</xdr:colOff>
      <xdr:row>5</xdr:row>
      <xdr:rowOff>43781</xdr:rowOff>
    </xdr:from>
    <xdr:ext cx="3780000" cy="342786"/>
    <xdr:sp macro="" textlink="">
      <xdr:nvSpPr>
        <xdr:cNvPr id="13" name="Прямоугольник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235504" y="996281"/>
          <a:ext cx="3780000" cy="342786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1600" b="1" cap="none" spc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Подвесная </a:t>
          </a:r>
          <a:r>
            <a:rPr lang="ru-RU" sz="1600" b="1" cap="none" spc="0" baseline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перегородка (4в1)</a:t>
          </a:r>
          <a:endParaRPr lang="ru-RU" sz="1600" b="1" cap="none" spc="0">
            <a:ln w="17780" cmpd="sng">
              <a:noFill/>
              <a:prstDash val="solid"/>
              <a:miter lim="800000"/>
            </a:ln>
            <a:solidFill>
              <a:schemeClr val="bg1"/>
            </a:soli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twoCellAnchor editAs="oneCell">
    <xdr:from>
      <xdr:col>8</xdr:col>
      <xdr:colOff>376167</xdr:colOff>
      <xdr:row>0</xdr:row>
      <xdr:rowOff>51420</xdr:rowOff>
    </xdr:from>
    <xdr:to>
      <xdr:col>9</xdr:col>
      <xdr:colOff>564171</xdr:colOff>
      <xdr:row>2</xdr:row>
      <xdr:rowOff>139212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849379" y="249247"/>
          <a:ext cx="796139" cy="468792"/>
        </a:xfrm>
        <a:prstGeom prst="rect">
          <a:avLst/>
        </a:prstGeom>
      </xdr:spPr>
    </xdr:pic>
    <xdr:clientData/>
  </xdr:twoCellAnchor>
  <xdr:oneCellAnchor>
    <xdr:from>
      <xdr:col>2</xdr:col>
      <xdr:colOff>52780</xdr:colOff>
      <xdr:row>7</xdr:row>
      <xdr:rowOff>55980</xdr:rowOff>
    </xdr:from>
    <xdr:ext cx="3780000" cy="342786"/>
    <xdr:sp macro="" textlink="">
      <xdr:nvSpPr>
        <xdr:cNvPr id="9" name="Прямоугольник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35194" y="1389480"/>
          <a:ext cx="3780000" cy="342786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1600" b="1" cap="none" spc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Складная перегородка (4в1)</a:t>
          </a:r>
        </a:p>
      </xdr:txBody>
    </xdr:sp>
    <xdr:clientData/>
  </xdr:oneCellAnchor>
  <xdr:oneCellAnchor>
    <xdr:from>
      <xdr:col>2</xdr:col>
      <xdr:colOff>49861</xdr:colOff>
      <xdr:row>11</xdr:row>
      <xdr:rowOff>88571</xdr:rowOff>
    </xdr:from>
    <xdr:ext cx="3780000" cy="342000"/>
    <xdr:sp macro="" textlink="">
      <xdr:nvSpPr>
        <xdr:cNvPr id="10" name="Прямоугольник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230032" y="2184071"/>
          <a:ext cx="3780000" cy="342000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1600" b="1" cap="none" spc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Стационарная </a:t>
          </a:r>
          <a:r>
            <a:rPr lang="ru-RU" sz="1600" b="1" cap="none" spc="0" baseline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перегородка (4в1)</a:t>
          </a:r>
          <a:endParaRPr lang="ru-RU" sz="1600" b="1" cap="none" spc="0">
            <a:ln w="17780" cmpd="sng">
              <a:noFill/>
              <a:prstDash val="solid"/>
              <a:miter lim="800000"/>
            </a:ln>
            <a:solidFill>
              <a:schemeClr val="bg1"/>
            </a:soli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693961</xdr:colOff>
      <xdr:row>38</xdr:row>
      <xdr:rowOff>4</xdr:rowOff>
    </xdr:from>
    <xdr:to>
      <xdr:col>1</xdr:col>
      <xdr:colOff>2000249</xdr:colOff>
      <xdr:row>50</xdr:row>
      <xdr:rowOff>70758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818" y="10423075"/>
          <a:ext cx="1306288" cy="29527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775605</xdr:colOff>
      <xdr:row>32</xdr:row>
      <xdr:rowOff>59878</xdr:rowOff>
    </xdr:from>
    <xdr:to>
      <xdr:col>1</xdr:col>
      <xdr:colOff>2075009</xdr:colOff>
      <xdr:row>44</xdr:row>
      <xdr:rowOff>63955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641" y="8346628"/>
          <a:ext cx="1299404" cy="28588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798030</xdr:colOff>
      <xdr:row>32</xdr:row>
      <xdr:rowOff>152400</xdr:rowOff>
    </xdr:from>
    <xdr:to>
      <xdr:col>1</xdr:col>
      <xdr:colOff>2056038</xdr:colOff>
      <xdr:row>43</xdr:row>
      <xdr:rowOff>207916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344" y="8915400"/>
          <a:ext cx="1258008" cy="25483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693962</xdr:colOff>
      <xdr:row>28</xdr:row>
      <xdr:rowOff>145603</xdr:rowOff>
    </xdr:from>
    <xdr:to>
      <xdr:col>1</xdr:col>
      <xdr:colOff>2002970</xdr:colOff>
      <xdr:row>41</xdr:row>
      <xdr:rowOff>21772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8" y="7425424"/>
          <a:ext cx="1309008" cy="3011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2D050"/>
    <pageSetUpPr fitToPage="1"/>
  </sheetPr>
  <dimension ref="A1:K28"/>
  <sheetViews>
    <sheetView tabSelected="1" zoomScaleNormal="100" zoomScalePageLayoutView="120" workbookViewId="0">
      <selection activeCell="I19" sqref="I19"/>
    </sheetView>
  </sheetViews>
  <sheetFormatPr defaultColWidth="8.88671875" defaultRowHeight="14.4" x14ac:dyDescent="0.3"/>
  <cols>
    <col min="11" max="11" width="1.88671875" customWidth="1"/>
  </cols>
  <sheetData>
    <row r="1" spans="1:11" x14ac:dyDescent="0.3">
      <c r="A1" s="1"/>
      <c r="B1" s="2"/>
      <c r="C1" s="2"/>
      <c r="D1" s="2"/>
      <c r="E1" s="2"/>
      <c r="F1" s="2"/>
      <c r="G1" s="2"/>
      <c r="H1" s="2"/>
      <c r="I1" s="2"/>
      <c r="J1" s="3"/>
      <c r="K1" s="10"/>
    </row>
    <row r="2" spans="1:11" x14ac:dyDescent="0.3">
      <c r="A2" s="4"/>
      <c r="B2" s="5"/>
      <c r="C2" s="5"/>
      <c r="D2" s="5"/>
      <c r="E2" s="5"/>
      <c r="F2" s="5"/>
      <c r="G2" s="5"/>
      <c r="H2" s="5"/>
      <c r="I2" s="5"/>
      <c r="J2" s="6"/>
      <c r="K2" s="10"/>
    </row>
    <row r="3" spans="1:11" x14ac:dyDescent="0.3">
      <c r="A3" s="4"/>
      <c r="B3" s="5"/>
      <c r="C3" s="5"/>
      <c r="D3" s="5"/>
      <c r="E3" s="5"/>
      <c r="F3" s="5"/>
      <c r="G3" s="5"/>
      <c r="H3" s="5"/>
      <c r="I3" s="5"/>
      <c r="J3" s="6"/>
      <c r="K3" s="10"/>
    </row>
    <row r="4" spans="1:11" x14ac:dyDescent="0.3">
      <c r="A4" s="4"/>
      <c r="B4" s="5"/>
      <c r="C4" s="5"/>
      <c r="D4" s="5"/>
      <c r="E4" s="5"/>
      <c r="F4" s="5"/>
      <c r="G4" s="5"/>
      <c r="H4" s="5"/>
      <c r="I4" s="5"/>
      <c r="J4" s="6"/>
      <c r="K4" s="10"/>
    </row>
    <row r="5" spans="1:11" x14ac:dyDescent="0.3">
      <c r="A5" s="4"/>
      <c r="B5" s="5"/>
      <c r="C5" s="5"/>
      <c r="D5" s="5"/>
      <c r="E5" s="5"/>
      <c r="F5" s="5"/>
      <c r="G5" s="5"/>
      <c r="H5" s="5"/>
      <c r="I5" s="5"/>
      <c r="J5" s="6"/>
      <c r="K5" s="10"/>
    </row>
    <row r="6" spans="1:11" x14ac:dyDescent="0.3">
      <c r="A6" s="4"/>
      <c r="B6" s="5"/>
      <c r="C6" s="5"/>
      <c r="D6" s="5"/>
      <c r="E6" s="5"/>
      <c r="F6" s="5"/>
      <c r="G6" s="5"/>
      <c r="H6" s="5"/>
      <c r="I6" s="5"/>
      <c r="J6" s="6"/>
      <c r="K6" s="10"/>
    </row>
    <row r="7" spans="1:11" x14ac:dyDescent="0.3">
      <c r="A7" s="4"/>
      <c r="B7" s="5"/>
      <c r="C7" s="5"/>
      <c r="D7" s="5"/>
      <c r="E7" s="5"/>
      <c r="F7" s="5"/>
      <c r="G7" s="5"/>
      <c r="H7" s="5"/>
      <c r="I7" s="5"/>
      <c r="J7" s="6"/>
      <c r="K7" s="10"/>
    </row>
    <row r="8" spans="1:11" x14ac:dyDescent="0.3">
      <c r="A8" s="4"/>
      <c r="B8" s="5"/>
      <c r="C8" s="5"/>
      <c r="D8" s="5"/>
      <c r="E8" s="5"/>
      <c r="F8" s="5"/>
      <c r="G8" s="5"/>
      <c r="H8" s="5"/>
      <c r="I8" s="5"/>
      <c r="J8" s="6"/>
      <c r="K8" s="10"/>
    </row>
    <row r="9" spans="1:11" x14ac:dyDescent="0.3">
      <c r="A9" s="4"/>
      <c r="B9" s="5"/>
      <c r="C9" s="5"/>
      <c r="D9" s="5"/>
      <c r="E9" s="5"/>
      <c r="F9" s="5"/>
      <c r="G9" s="5"/>
      <c r="H9" s="5"/>
      <c r="I9" s="5"/>
      <c r="J9" s="6"/>
      <c r="K9" s="10"/>
    </row>
    <row r="10" spans="1:11" x14ac:dyDescent="0.3">
      <c r="A10" s="4"/>
      <c r="B10" s="5"/>
      <c r="C10" s="5"/>
      <c r="D10" s="5"/>
      <c r="E10" s="5"/>
      <c r="F10" s="5"/>
      <c r="G10" s="5"/>
      <c r="H10" s="5"/>
      <c r="I10" s="5"/>
      <c r="J10" s="6"/>
      <c r="K10" s="10"/>
    </row>
    <row r="11" spans="1:11" x14ac:dyDescent="0.3">
      <c r="A11" s="4"/>
      <c r="B11" s="5"/>
      <c r="C11" s="5"/>
      <c r="D11" s="5"/>
      <c r="E11" s="5"/>
      <c r="F11" s="5"/>
      <c r="G11" s="5"/>
      <c r="H11" s="5"/>
      <c r="I11" s="5"/>
      <c r="J11" s="6"/>
      <c r="K11" s="10"/>
    </row>
    <row r="12" spans="1:11" x14ac:dyDescent="0.3">
      <c r="A12" s="4"/>
      <c r="B12" s="5"/>
      <c r="C12" s="5"/>
      <c r="D12" s="5"/>
      <c r="E12" s="5"/>
      <c r="F12" s="5"/>
      <c r="G12" s="5"/>
      <c r="H12" s="5"/>
      <c r="I12" s="5"/>
      <c r="J12" s="6"/>
      <c r="K12" s="10"/>
    </row>
    <row r="13" spans="1:11" x14ac:dyDescent="0.3">
      <c r="A13" s="4"/>
      <c r="B13" s="5"/>
      <c r="C13" s="5"/>
      <c r="D13" s="5"/>
      <c r="E13" s="5"/>
      <c r="F13" s="5"/>
      <c r="G13" s="5"/>
      <c r="H13" s="5"/>
      <c r="I13" s="5"/>
      <c r="J13" s="6"/>
      <c r="K13" s="10"/>
    </row>
    <row r="14" spans="1:11" x14ac:dyDescent="0.3">
      <c r="A14" s="4"/>
      <c r="B14" s="5"/>
      <c r="C14" s="5"/>
      <c r="D14" s="5"/>
      <c r="E14" s="5"/>
      <c r="F14" s="5"/>
      <c r="G14" s="5"/>
      <c r="H14" s="5"/>
      <c r="I14" s="5"/>
      <c r="J14" s="6"/>
      <c r="K14" s="10"/>
    </row>
    <row r="15" spans="1:11" x14ac:dyDescent="0.3">
      <c r="A15" s="4"/>
      <c r="B15" s="5"/>
      <c r="C15" s="5"/>
      <c r="D15" s="5"/>
      <c r="E15" s="5"/>
      <c r="F15" s="5"/>
      <c r="G15" s="5"/>
      <c r="H15" s="5"/>
      <c r="I15" s="5"/>
      <c r="J15" s="6"/>
      <c r="K15" s="10"/>
    </row>
    <row r="16" spans="1:11" ht="15" thickBot="1" x14ac:dyDescent="0.35">
      <c r="A16" s="7"/>
      <c r="B16" s="8"/>
      <c r="C16" s="8"/>
      <c r="D16" s="8"/>
      <c r="E16" s="8"/>
      <c r="F16" s="8"/>
      <c r="G16" s="8"/>
      <c r="H16" s="8"/>
      <c r="I16" s="8"/>
      <c r="J16" s="9"/>
      <c r="K16" s="10"/>
    </row>
    <row r="17" spans="1:11" x14ac:dyDescent="0.3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</row>
    <row r="18" spans="1:11" x14ac:dyDescent="0.3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</row>
    <row r="19" spans="1:11" x14ac:dyDescent="0.3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</row>
    <row r="20" spans="1:11" x14ac:dyDescent="0.3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</row>
    <row r="21" spans="1:11" x14ac:dyDescent="0.3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</row>
    <row r="22" spans="1:11" x14ac:dyDescent="0.3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3" spans="1:11" x14ac:dyDescent="0.3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</row>
    <row r="24" spans="1:11" x14ac:dyDescent="0.3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</row>
    <row r="25" spans="1:11" x14ac:dyDescent="0.3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</row>
    <row r="26" spans="1:11" x14ac:dyDescent="0.3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</row>
    <row r="27" spans="1:11" x14ac:dyDescent="0.3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</row>
    <row r="28" spans="1:11" x14ac:dyDescent="0.3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</row>
  </sheetData>
  <sheetProtection algorithmName="SHA-512" hashValue="Cjb27a+/OOc8LCjwJuy3m6KlyOp02ijKSBehy5xUpgXIZMEjgza8OrlM9daZ/2S2b9OqSCidbaI2cTOjYcNz7Q==" saltValue="aUWPqFGEDjWRbIuv8TVvUw==" spinCount="100000" sheet="1" objects="1" scenarios="1" selectLockedCells="1"/>
  <pageMargins left="0.70866141732283472" right="0.70866141732283472" top="0.74803149606299213" bottom="0.74803149606299213" header="0.31496062992125984" footer="0.31496062992125984"/>
  <pageSetup paperSize="9" orientation="landscape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1"/>
    <pageSetUpPr fitToPage="1"/>
  </sheetPr>
  <dimension ref="B1:AG72"/>
  <sheetViews>
    <sheetView zoomScale="70" zoomScaleNormal="70" zoomScalePageLayoutView="125" workbookViewId="0">
      <selection activeCell="C5" sqref="C5"/>
    </sheetView>
  </sheetViews>
  <sheetFormatPr defaultColWidth="8.88671875" defaultRowHeight="14.4" x14ac:dyDescent="0.3"/>
  <cols>
    <col min="1" max="1" width="1.6640625" style="12" customWidth="1"/>
    <col min="2" max="2" width="46.109375" style="12" customWidth="1"/>
    <col min="3" max="3" width="45.44140625" style="12" customWidth="1"/>
    <col min="4" max="8" width="14.6640625" style="12" customWidth="1"/>
    <col min="9" max="9" width="2.109375" style="12" customWidth="1"/>
    <col min="10" max="10" width="36.44140625" style="12" customWidth="1"/>
    <col min="11" max="11" width="15.6640625" style="12" customWidth="1"/>
    <col min="12" max="12" width="12.44140625" style="12" customWidth="1"/>
    <col min="13" max="13" width="15.109375" style="12" customWidth="1"/>
    <col min="14" max="14" width="12.33203125" style="12" customWidth="1"/>
    <col min="15" max="15" width="16.6640625" style="12" customWidth="1"/>
    <col min="16" max="16" width="1.109375" style="75" customWidth="1"/>
    <col min="17" max="17" width="8.88671875" style="12" hidden="1" customWidth="1"/>
    <col min="18" max="18" width="29.88671875" style="12" hidden="1" customWidth="1"/>
    <col min="19" max="33" width="8.88671875" style="12" hidden="1" customWidth="1"/>
    <col min="34" max="34" width="0" style="12" hidden="1" customWidth="1"/>
    <col min="35" max="16384" width="8.88671875" style="12"/>
  </cols>
  <sheetData>
    <row r="1" spans="2:27" ht="18.600000000000001" thickBot="1" x14ac:dyDescent="0.35">
      <c r="B1" s="214" t="s">
        <v>52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65"/>
    </row>
    <row r="2" spans="2:27" s="13" customFormat="1" x14ac:dyDescent="0.3">
      <c r="B2" s="216" t="s">
        <v>79</v>
      </c>
      <c r="C2" s="217"/>
      <c r="D2" s="217"/>
      <c r="E2" s="217"/>
      <c r="F2" s="217"/>
      <c r="G2" s="217"/>
      <c r="H2" s="218"/>
      <c r="J2" s="211" t="s">
        <v>80</v>
      </c>
      <c r="K2" s="212"/>
      <c r="L2" s="212"/>
      <c r="M2" s="212"/>
      <c r="N2" s="212"/>
      <c r="O2" s="213"/>
      <c r="P2" s="66"/>
    </row>
    <row r="3" spans="2:27" s="16" customFormat="1" ht="15.6" x14ac:dyDescent="0.3">
      <c r="B3" s="219"/>
      <c r="C3" s="220"/>
      <c r="D3" s="14"/>
      <c r="E3" s="14"/>
      <c r="F3" s="14"/>
      <c r="G3" s="14"/>
      <c r="H3" s="15"/>
      <c r="J3" s="219" t="s">
        <v>74</v>
      </c>
      <c r="K3" s="220"/>
      <c r="L3" s="14"/>
      <c r="M3" s="14"/>
      <c r="N3" s="14"/>
      <c r="O3" s="15"/>
      <c r="P3" s="14"/>
    </row>
    <row r="4" spans="2:27" ht="15.6" x14ac:dyDescent="0.3">
      <c r="B4" s="49" t="s">
        <v>6</v>
      </c>
      <c r="C4" s="53" t="s">
        <v>18</v>
      </c>
      <c r="D4" s="221" t="s">
        <v>21</v>
      </c>
      <c r="E4" s="222"/>
      <c r="F4" s="222"/>
      <c r="G4" s="222"/>
      <c r="H4" s="223"/>
      <c r="J4" s="49" t="s">
        <v>0</v>
      </c>
      <c r="K4" s="179" t="s">
        <v>18</v>
      </c>
      <c r="L4" s="18"/>
      <c r="M4" s="18"/>
      <c r="N4" s="18"/>
      <c r="O4" s="25"/>
      <c r="P4" s="18"/>
      <c r="R4" s="67">
        <v>0</v>
      </c>
    </row>
    <row r="5" spans="2:27" ht="20.100000000000001" customHeight="1" x14ac:dyDescent="0.3">
      <c r="B5" s="43" t="s">
        <v>96</v>
      </c>
      <c r="C5" s="23">
        <v>0</v>
      </c>
      <c r="D5" s="233" t="str">
        <f>IF(OR(K5&gt;1200,K5&lt;600),AA15,AA16)</f>
        <v>не рекомендуем, ширина двери должна быть от 600 мм до 1200 мм</v>
      </c>
      <c r="E5" s="234"/>
      <c r="F5" s="234"/>
      <c r="G5" s="234"/>
      <c r="H5" s="235"/>
      <c r="J5" s="50" t="s">
        <v>28</v>
      </c>
      <c r="K5" s="52">
        <f>ROUNDDOWN(IF(C9=R8,C5+39,
IF(AND(C9=R9,OR(C15=R38,C15=R39)),C5/2+39,
IF(AND(C9=R9,OR(C15=R40,C15=R41)),(C5-10)/2+39,
IF(AND(C9=R10,OR(C15=R38,C15=R39)),(C5+39)/2,
IF(AND(C9=R10,OR(C15=R40,C15=R41)),(C5-10+39)/2,
IF(AND(OR(C9=R11,C9=R15),OR(C15=R38,C15=R39)),(C5+39+39)/4,
IF(AND(OR(C9=R11,C9=R15),OR(C15=R40,C15=R41)),(C5-10+39+39)/4,
IF(AND(C9=R12,OR(C15=R38,C15=R39),C11&gt;1),(C5+53+(C11-1)*39)/C11,
IF(AND(C9=R12,OR(C15=R40,C15=R41),C11&gt;1),(C5-5+53+(C11-1)*39)/C11,
IF(AND(C9=R13,OR(C15=R38,C15=R39),C11&gt;1),(C5+(C11-1)*39)/C11,
IF(AND(C9=R13,OR(C15=R40,C15=R41),C11&gt;1),(C5-10+(C11-1)*39)/C11,
IF(AND(C9=R14,OR(C15=R38,C15=R39),C11&gt;1),(C5+39+39)/3,
IF(AND(C9=R14,OR(C15=R40,C15=R41),C11&gt;1),(C5-10+39+39)/3,0))))))))))))),0)</f>
        <v>17</v>
      </c>
      <c r="L5" s="19"/>
      <c r="M5" s="19"/>
      <c r="N5" s="19"/>
      <c r="O5" s="27"/>
      <c r="P5" s="18"/>
      <c r="R5" s="67">
        <v>1</v>
      </c>
    </row>
    <row r="6" spans="2:27" ht="20.100000000000001" customHeight="1" x14ac:dyDescent="0.3">
      <c r="B6" s="43" t="s">
        <v>97</v>
      </c>
      <c r="C6" s="23">
        <v>0</v>
      </c>
      <c r="D6" s="233" t="str">
        <f>IF(K6&gt;3200,R18,R19)</f>
        <v>допустимо</v>
      </c>
      <c r="E6" s="234"/>
      <c r="F6" s="234"/>
      <c r="G6" s="234"/>
      <c r="H6" s="235"/>
      <c r="J6" s="50" t="s">
        <v>27</v>
      </c>
      <c r="K6" s="52">
        <f>IF(OR(C9=R8,C9=R9),C6+100-60,C6-60)</f>
        <v>-60</v>
      </c>
      <c r="L6" s="18"/>
      <c r="M6" s="18"/>
      <c r="N6" s="18"/>
      <c r="O6" s="25"/>
      <c r="P6" s="18"/>
      <c r="R6" s="67">
        <v>2</v>
      </c>
    </row>
    <row r="7" spans="2:27" ht="20.100000000000001" customHeight="1" thickBot="1" x14ac:dyDescent="0.35">
      <c r="B7" s="43" t="s">
        <v>98</v>
      </c>
      <c r="C7" s="24">
        <v>0</v>
      </c>
      <c r="D7" s="236" t="s">
        <v>16</v>
      </c>
      <c r="E7" s="237"/>
      <c r="F7" s="237"/>
      <c r="G7" s="237"/>
      <c r="H7" s="238"/>
      <c r="J7" s="219"/>
      <c r="K7" s="220"/>
      <c r="L7" s="220"/>
      <c r="M7" s="220"/>
      <c r="N7" s="178"/>
      <c r="O7" s="68"/>
      <c r="P7" s="14"/>
      <c r="R7" s="69"/>
    </row>
    <row r="8" spans="2:27" ht="20.100000000000001" customHeight="1" x14ac:dyDescent="0.3">
      <c r="B8" s="43" t="s">
        <v>99</v>
      </c>
      <c r="C8" s="24" t="s">
        <v>205</v>
      </c>
      <c r="D8" s="239"/>
      <c r="E8" s="240"/>
      <c r="F8" s="240"/>
      <c r="G8" s="240"/>
      <c r="H8" s="241"/>
      <c r="J8" s="269" t="s">
        <v>152</v>
      </c>
      <c r="K8" s="270"/>
      <c r="L8" s="270"/>
      <c r="M8" s="270"/>
      <c r="N8" s="184"/>
      <c r="O8" s="190"/>
      <c r="P8" s="14"/>
      <c r="R8" s="70" t="s">
        <v>69</v>
      </c>
    </row>
    <row r="9" spans="2:27" ht="35.1" customHeight="1" x14ac:dyDescent="0.3">
      <c r="B9" s="71" t="s">
        <v>100</v>
      </c>
      <c r="C9" s="30" t="s">
        <v>154</v>
      </c>
      <c r="D9" s="242"/>
      <c r="E9" s="239"/>
      <c r="F9" s="239"/>
      <c r="G9" s="239"/>
      <c r="H9" s="243"/>
      <c r="J9" s="49" t="s">
        <v>0</v>
      </c>
      <c r="K9" s="179" t="s">
        <v>1</v>
      </c>
      <c r="L9" s="179" t="s">
        <v>10</v>
      </c>
      <c r="M9" s="179" t="s">
        <v>12</v>
      </c>
      <c r="N9" s="72" t="s">
        <v>78</v>
      </c>
      <c r="O9" s="180" t="s">
        <v>33</v>
      </c>
      <c r="P9" s="74"/>
      <c r="R9" s="70" t="s">
        <v>70</v>
      </c>
    </row>
    <row r="10" spans="2:27" ht="35.1" customHeight="1" x14ac:dyDescent="0.3">
      <c r="B10" s="71" t="s">
        <v>101</v>
      </c>
      <c r="C10" s="37">
        <f>IF(OR(C9=R10,C9=R11,C9=R9),2,IF(OR(C9=R12,C9=R13),C11,IF(C9=R14,3,IF(C9=R15,4,1))))</f>
        <v>4</v>
      </c>
      <c r="D10" s="237" t="s">
        <v>93</v>
      </c>
      <c r="E10" s="274"/>
      <c r="F10" s="274"/>
      <c r="G10" s="274"/>
      <c r="H10" s="275"/>
      <c r="J10" s="51" t="s">
        <v>2</v>
      </c>
      <c r="K10" s="186" t="s">
        <v>155</v>
      </c>
      <c r="L10" s="172">
        <f>K6</f>
        <v>-60</v>
      </c>
      <c r="M10" s="173">
        <f>IF(C9=R8,2,
IF(OR(C9=R9,C9=R10,C9=R11),4,
IF(C9=R14,6,
IF(OR(C9=R12,C9=R13),C11*2,
IF(C9=R15,8,0)))))</f>
        <v>8</v>
      </c>
      <c r="N10" s="172"/>
      <c r="O10" s="206">
        <f>IF(L10&gt;2650,M10,M10/2)</f>
        <v>4</v>
      </c>
      <c r="P10" s="74"/>
      <c r="R10" s="70" t="s">
        <v>71</v>
      </c>
    </row>
    <row r="11" spans="2:27" ht="35.1" customHeight="1" x14ac:dyDescent="0.3">
      <c r="B11" s="71" t="s">
        <v>101</v>
      </c>
      <c r="C11" s="24">
        <v>3</v>
      </c>
      <c r="D11" s="226" t="s">
        <v>128</v>
      </c>
      <c r="E11" s="227"/>
      <c r="F11" s="227"/>
      <c r="G11" s="227"/>
      <c r="H11" s="228"/>
      <c r="J11" s="51" t="s">
        <v>7</v>
      </c>
      <c r="K11" s="183" t="s">
        <v>159</v>
      </c>
      <c r="L11" s="172">
        <f>IF(C9=R8,C5+K5-52,
IF(C9=R9,C5+K5*2-104,
IF(OR(C9=R10,C9=R11,C9=R13,C9=R14,C9=R15),C5,
IF(C9=R12,C5+K5-39,0))))</f>
        <v>0</v>
      </c>
      <c r="M11" s="173">
        <f>IF(C9=R10,2,
IF(C9=R14,2,
IF(OR(C9=R8,C9=R9,C9=R11),1,
IF(OR(C9=R12,C9=R13),C11,
IF(C9=R15,2,0)))))</f>
        <v>2</v>
      </c>
      <c r="N11" s="172">
        <f>L11*M11</f>
        <v>0</v>
      </c>
      <c r="O11" s="206">
        <f>CEILING((L11*M11)/5000,1)</f>
        <v>0</v>
      </c>
      <c r="P11" s="74"/>
      <c r="Q11" s="75"/>
      <c r="R11" s="70" t="s">
        <v>117</v>
      </c>
    </row>
    <row r="12" spans="2:27" ht="35.1" customHeight="1" x14ac:dyDescent="0.3">
      <c r="B12" s="76" t="s">
        <v>102</v>
      </c>
      <c r="C12" s="29" t="s">
        <v>59</v>
      </c>
      <c r="D12" s="226" t="s">
        <v>128</v>
      </c>
      <c r="E12" s="227"/>
      <c r="F12" s="227"/>
      <c r="G12" s="227"/>
      <c r="H12" s="228"/>
      <c r="J12" s="187" t="s">
        <v>8</v>
      </c>
      <c r="K12" s="186" t="s">
        <v>160</v>
      </c>
      <c r="L12" s="168">
        <f>IF(OR(C9=R8,C9=R9),38,0)</f>
        <v>0</v>
      </c>
      <c r="M12" s="173">
        <f>IF(OR(C9=R8,C9=R9),2,0)</f>
        <v>0</v>
      </c>
      <c r="N12" s="231">
        <f>L13*M13+L12*M12</f>
        <v>0</v>
      </c>
      <c r="O12" s="224">
        <f>CEILING((L13*M13+L12*M12)/5000,1)</f>
        <v>0</v>
      </c>
      <c r="P12" s="74"/>
      <c r="R12" s="70" t="s">
        <v>81</v>
      </c>
    </row>
    <row r="13" spans="2:27" ht="34.5" customHeight="1" x14ac:dyDescent="0.3">
      <c r="B13" s="77" t="s">
        <v>108</v>
      </c>
      <c r="C13" s="29" t="s">
        <v>73</v>
      </c>
      <c r="D13" s="226" t="s">
        <v>109</v>
      </c>
      <c r="E13" s="227"/>
      <c r="F13" s="227"/>
      <c r="G13" s="227"/>
      <c r="H13" s="228"/>
      <c r="J13" s="187" t="s">
        <v>8</v>
      </c>
      <c r="K13" s="186" t="s">
        <v>160</v>
      </c>
      <c r="L13" s="169">
        <f>IF(OR(C9=R8,C9=R9),L11+8,
IF(OR(C9=R10,C9=R11,C9=R12,C9=R13,C9=R14,C9=R15),L11,0))</f>
        <v>0</v>
      </c>
      <c r="M13" s="170">
        <f>IF(OR(C9=R8,C9=R9,C9=R11,C9=R12),1,
IF(OR(C9=R10,C9=R13,C9=R15),2,
IF(C9=R14,1,0)))</f>
        <v>2</v>
      </c>
      <c r="N13" s="232"/>
      <c r="O13" s="225"/>
      <c r="P13" s="74"/>
      <c r="R13" s="70" t="s">
        <v>110</v>
      </c>
    </row>
    <row r="14" spans="2:27" ht="34.5" customHeight="1" x14ac:dyDescent="0.3">
      <c r="B14" s="78" t="s">
        <v>32</v>
      </c>
      <c r="C14" s="29" t="s">
        <v>73</v>
      </c>
      <c r="D14" s="277" t="s">
        <v>116</v>
      </c>
      <c r="E14" s="226"/>
      <c r="F14" s="226"/>
      <c r="G14" s="226"/>
      <c r="H14" s="278"/>
      <c r="J14" s="51" t="s">
        <v>3</v>
      </c>
      <c r="K14" s="186" t="s">
        <v>156</v>
      </c>
      <c r="L14" s="172">
        <f>K5-78</f>
        <v>-61</v>
      </c>
      <c r="M14" s="173">
        <f>C10</f>
        <v>4</v>
      </c>
      <c r="N14" s="172">
        <f>L14*M14</f>
        <v>-244</v>
      </c>
      <c r="O14" s="206">
        <f>CEILING((L14*M14)/5000,1)</f>
        <v>0</v>
      </c>
      <c r="P14" s="74"/>
      <c r="R14" s="70" t="s">
        <v>153</v>
      </c>
    </row>
    <row r="15" spans="2:27" ht="44.25" customHeight="1" x14ac:dyDescent="0.3">
      <c r="B15" s="79" t="s">
        <v>119</v>
      </c>
      <c r="C15" s="29" t="s">
        <v>107</v>
      </c>
      <c r="D15" s="236" t="s">
        <v>138</v>
      </c>
      <c r="E15" s="236"/>
      <c r="F15" s="236"/>
      <c r="G15" s="236"/>
      <c r="H15" s="238"/>
      <c r="J15" s="51" t="s">
        <v>4</v>
      </c>
      <c r="K15" s="186" t="s">
        <v>157</v>
      </c>
      <c r="L15" s="172">
        <f>K5-78</f>
        <v>-61</v>
      </c>
      <c r="M15" s="173">
        <f>C10</f>
        <v>4</v>
      </c>
      <c r="N15" s="172">
        <f>L15*M15</f>
        <v>-244</v>
      </c>
      <c r="O15" s="206">
        <f>CEILING((L15*M15)/5000,1)</f>
        <v>0</v>
      </c>
      <c r="P15" s="74"/>
      <c r="R15" s="12" t="s">
        <v>154</v>
      </c>
      <c r="AA15" s="12" t="s">
        <v>144</v>
      </c>
    </row>
    <row r="16" spans="2:27" ht="35.1" customHeight="1" thickBot="1" x14ac:dyDescent="0.35">
      <c r="B16" s="78" t="s">
        <v>103</v>
      </c>
      <c r="C16" s="29" t="s">
        <v>73</v>
      </c>
      <c r="D16" s="242"/>
      <c r="E16" s="242"/>
      <c r="F16" s="242"/>
      <c r="G16" s="242"/>
      <c r="H16" s="243"/>
      <c r="J16" s="207" t="s">
        <v>5</v>
      </c>
      <c r="K16" s="208" t="s">
        <v>158</v>
      </c>
      <c r="L16" s="171">
        <f>IF(C7&gt;0,K5-78,0)</f>
        <v>0</v>
      </c>
      <c r="M16" s="209">
        <f>M15*C7</f>
        <v>0</v>
      </c>
      <c r="N16" s="171">
        <f>L16*M16</f>
        <v>0</v>
      </c>
      <c r="O16" s="210">
        <f>IF(L16="нет",0,CEILING((L16*M16)/5000,1))</f>
        <v>0</v>
      </c>
      <c r="P16" s="74"/>
      <c r="AA16" s="12" t="s">
        <v>145</v>
      </c>
    </row>
    <row r="17" spans="2:18" ht="35.1" customHeight="1" x14ac:dyDescent="0.3">
      <c r="B17" s="78" t="s">
        <v>130</v>
      </c>
      <c r="C17" s="39" t="s">
        <v>73</v>
      </c>
      <c r="D17" s="236" t="str">
        <f>IF((K5&gt;=650),R72,R71)</f>
        <v>невозможно установить, ширина двери должна быть не менее 650 мм</v>
      </c>
      <c r="E17" s="236"/>
      <c r="F17" s="236"/>
      <c r="G17" s="236"/>
      <c r="H17" s="238"/>
      <c r="J17" s="259"/>
      <c r="K17" s="260"/>
      <c r="L17" s="260"/>
      <c r="M17" s="260"/>
      <c r="N17" s="260"/>
      <c r="O17" s="261"/>
      <c r="P17" s="74"/>
    </row>
    <row r="18" spans="2:18" ht="35.1" customHeight="1" x14ac:dyDescent="0.3">
      <c r="B18" s="80" t="s">
        <v>136</v>
      </c>
      <c r="C18" s="39">
        <v>0</v>
      </c>
      <c r="D18" s="236" t="s">
        <v>129</v>
      </c>
      <c r="E18" s="236"/>
      <c r="F18" s="236"/>
      <c r="G18" s="236"/>
      <c r="H18" s="238"/>
      <c r="J18" s="26"/>
      <c r="K18" s="19"/>
      <c r="L18" s="19"/>
      <c r="M18" s="19"/>
      <c r="N18" s="19"/>
      <c r="O18" s="27"/>
      <c r="P18" s="74"/>
      <c r="R18" s="12" t="s">
        <v>148</v>
      </c>
    </row>
    <row r="19" spans="2:18" ht="35.1" customHeight="1" x14ac:dyDescent="0.3">
      <c r="B19" s="78" t="s">
        <v>126</v>
      </c>
      <c r="C19" s="39" t="s">
        <v>73</v>
      </c>
      <c r="D19" s="237" t="str">
        <f>IF(OR(C9=R8,C9=R10,C9=R12,C9=R13,C9=R14),"невозможно установить","допустимо")</f>
        <v>допустимо</v>
      </c>
      <c r="E19" s="274"/>
      <c r="F19" s="274"/>
      <c r="G19" s="274"/>
      <c r="H19" s="275"/>
      <c r="J19" s="26"/>
      <c r="K19" s="19"/>
      <c r="L19" s="19"/>
      <c r="M19" s="19"/>
      <c r="N19" s="19"/>
      <c r="O19" s="27"/>
      <c r="P19" s="74"/>
      <c r="R19" s="12" t="s">
        <v>145</v>
      </c>
    </row>
    <row r="20" spans="2:18" ht="35.1" customHeight="1" thickBot="1" x14ac:dyDescent="0.35">
      <c r="B20" s="81" t="s">
        <v>127</v>
      </c>
      <c r="C20" s="38" t="s">
        <v>73</v>
      </c>
      <c r="D20" s="266" t="str">
        <f>IF(OR(C9=R8,C9=R9,C9=R11,C9=R15),"невозможно установить",IF(C9=R12,"допустимо с механизмом синхронного последовательного открывания","допустимо"))</f>
        <v>невозможно установить</v>
      </c>
      <c r="E20" s="267"/>
      <c r="F20" s="267"/>
      <c r="G20" s="267"/>
      <c r="H20" s="268"/>
      <c r="J20" s="26"/>
      <c r="K20" s="19"/>
      <c r="L20" s="19"/>
      <c r="M20" s="19"/>
      <c r="N20" s="19"/>
      <c r="O20" s="27"/>
      <c r="P20" s="74"/>
    </row>
    <row r="21" spans="2:18" ht="22.5" customHeight="1" thickBot="1" x14ac:dyDescent="0.35">
      <c r="F21" s="82"/>
      <c r="J21" s="177" t="s">
        <v>151</v>
      </c>
      <c r="K21" s="178"/>
      <c r="L21" s="178"/>
      <c r="M21" s="19"/>
      <c r="N21" s="19"/>
      <c r="O21" s="27"/>
      <c r="P21" s="74"/>
      <c r="R21" s="12" t="s">
        <v>58</v>
      </c>
    </row>
    <row r="22" spans="2:18" ht="35.1" customHeight="1" x14ac:dyDescent="0.3">
      <c r="B22" s="61" t="s">
        <v>29</v>
      </c>
      <c r="C22" s="83"/>
      <c r="D22" s="276"/>
      <c r="E22" s="276"/>
      <c r="F22" s="276"/>
      <c r="G22" s="276"/>
      <c r="H22" s="276"/>
      <c r="J22" s="271" t="s">
        <v>0</v>
      </c>
      <c r="K22" s="272"/>
      <c r="L22" s="273"/>
      <c r="M22" s="185" t="s">
        <v>1</v>
      </c>
      <c r="N22" s="128" t="s">
        <v>11</v>
      </c>
      <c r="O22" s="27"/>
      <c r="P22" s="74"/>
      <c r="R22" s="12" t="s">
        <v>59</v>
      </c>
    </row>
    <row r="23" spans="2:18" ht="15.6" x14ac:dyDescent="0.3">
      <c r="B23" s="262" t="s">
        <v>122</v>
      </c>
      <c r="C23" s="262"/>
      <c r="D23" s="262"/>
      <c r="E23" s="262"/>
      <c r="F23" s="262"/>
      <c r="G23" s="262"/>
      <c r="H23" s="262"/>
      <c r="J23" s="247" t="s">
        <v>121</v>
      </c>
      <c r="K23" s="248"/>
      <c r="L23" s="249"/>
      <c r="M23" s="182" t="s">
        <v>189</v>
      </c>
      <c r="N23" s="205">
        <f>C10</f>
        <v>4</v>
      </c>
      <c r="O23" s="27"/>
      <c r="P23" s="74"/>
    </row>
    <row r="24" spans="2:18" ht="15.6" x14ac:dyDescent="0.3">
      <c r="B24" s="262"/>
      <c r="C24" s="262"/>
      <c r="D24" s="262"/>
      <c r="E24" s="262"/>
      <c r="F24" s="262"/>
      <c r="G24" s="262"/>
      <c r="H24" s="262"/>
      <c r="J24" s="247" t="s">
        <v>47</v>
      </c>
      <c r="K24" s="248"/>
      <c r="L24" s="249"/>
      <c r="M24" s="182" t="s">
        <v>190</v>
      </c>
      <c r="N24" s="205">
        <f>IF(OR(C9=R8,C9=R9,C9=R10,C9=R11),N23,
IF(AND(C9=R12,C11&gt;1),1,
IF(AND(C9=R13,C11&gt;1),3,
IF(C9=R14,3,
IF(C9=R15,6,0)))))</f>
        <v>6</v>
      </c>
      <c r="O24" s="27"/>
      <c r="P24" s="74"/>
    </row>
    <row r="25" spans="2:18" ht="15.6" x14ac:dyDescent="0.3">
      <c r="B25" s="262"/>
      <c r="C25" s="262"/>
      <c r="D25" s="262"/>
      <c r="E25" s="262"/>
      <c r="F25" s="262"/>
      <c r="G25" s="262"/>
      <c r="H25" s="262"/>
      <c r="J25" s="247" t="s">
        <v>49</v>
      </c>
      <c r="K25" s="248"/>
      <c r="L25" s="249"/>
      <c r="M25" s="182" t="s">
        <v>191</v>
      </c>
      <c r="N25" s="205">
        <f>IF(OR(C9=R8,C9=R10,C9=R14),ROUNDUP((N23*2-N31)/2,0),
IF(AND(N31=0,OR(C9=R9,C9=R11)),2,
IF(AND(N31=0,C9=R15),3,
IF(AND(C14=R25,OR(C9=R9,C9=R11)),0,
IF(AND(C14=R25,C9=R15),1,
IF(AND(C14=R26,OR(C9=R9,C9=R11)),ROUNDUP((N23*2-N31)/2,0),
IF(AND(C14=R26,C9=R15),ROUNDUP(((N23-2)*2-N31)/2+1,0),
IF(OR(AND(C13=R25,OR(C9=R13,C9=R12),N31=0),AND(C13=R26,OR(C9=R13,C9=R12),N31&lt;&gt;0),AND(C13=R26,OR(C9=R13,C9=R12),N31=0)),1,0))))))))</f>
        <v>3</v>
      </c>
      <c r="O25" s="27"/>
      <c r="P25" s="74"/>
      <c r="R25" s="12" t="s">
        <v>72</v>
      </c>
    </row>
    <row r="26" spans="2:18" ht="15.6" x14ac:dyDescent="0.3">
      <c r="J26" s="250" t="s">
        <v>50</v>
      </c>
      <c r="K26" s="251"/>
      <c r="L26" s="252"/>
      <c r="M26" s="54" t="s">
        <v>204</v>
      </c>
      <c r="N26" s="201">
        <f>IF(OR(C9=R8,C9=R10,C9=R14),N31,
IF(AND(N31&lt;&gt;0,C14=R25,OR(C9=R9,C9=R11,C9=R15)),4,
IF(AND(N31&lt;&gt;0,C14=R26,OR(C9=R9,C9=R11,C9=R15)),N31,
IF(AND(C13=R25,C9=R12,N31&lt;&gt;0),2,
IF(AND(C13=R26,C9=R12,N31&lt;&gt;0),1,
IF(AND(C13=R25,C9=R13,N31&lt;&gt;0),3,
IF(AND(C13=R26,C9=R13,N31&lt;&gt;0),2,
IF(AND(OR(C13=R26,C13=R25),C9=R13,N31=0),1,0))))))))</f>
        <v>0</v>
      </c>
      <c r="O26" s="27"/>
      <c r="P26" s="74"/>
      <c r="R26" s="12" t="s">
        <v>73</v>
      </c>
    </row>
    <row r="27" spans="2:18" ht="18.600000000000001" thickBot="1" x14ac:dyDescent="0.35">
      <c r="B27" s="85" t="s">
        <v>123</v>
      </c>
      <c r="C27" s="86"/>
      <c r="D27" s="86"/>
      <c r="E27" s="86"/>
      <c r="F27" s="86"/>
      <c r="G27" s="86"/>
      <c r="H27" s="86"/>
      <c r="J27" s="247" t="s">
        <v>32</v>
      </c>
      <c r="K27" s="248"/>
      <c r="L27" s="249"/>
      <c r="M27" s="182" t="s">
        <v>193</v>
      </c>
      <c r="N27" s="193">
        <f>IF(OR(AND(C9=R11,C14=R25),AND(C9=R9,C14=R25),AND(C9=R15,C14=R25)),1,0)</f>
        <v>0</v>
      </c>
      <c r="O27" s="27"/>
      <c r="P27" s="74"/>
    </row>
    <row r="28" spans="2:18" ht="18.600000000000001" thickBot="1" x14ac:dyDescent="0.35">
      <c r="B28" s="87"/>
      <c r="C28" s="88"/>
      <c r="D28" s="88"/>
      <c r="E28" s="88"/>
      <c r="F28" s="88"/>
      <c r="G28" s="88"/>
      <c r="H28" s="89"/>
      <c r="J28" s="250" t="s">
        <v>118</v>
      </c>
      <c r="K28" s="251"/>
      <c r="L28" s="252"/>
      <c r="M28" s="182" t="s">
        <v>194</v>
      </c>
      <c r="N28" s="193">
        <f>IF(OR(AND(C9=R12,C13=R25,C11&lt;4),AND(C9=R13,C13=R25,C11&lt;4)),1,0)</f>
        <v>0</v>
      </c>
      <c r="O28" s="27"/>
      <c r="P28" s="74"/>
    </row>
    <row r="29" spans="2:18" ht="18.600000000000001" thickBot="1" x14ac:dyDescent="0.4">
      <c r="B29" s="90" t="s">
        <v>82</v>
      </c>
      <c r="C29" s="91">
        <f>C7+1</f>
        <v>1</v>
      </c>
      <c r="D29" s="92" t="str">
        <f>IF(C29&gt;5,R35,R36)</f>
        <v xml:space="preserve"> </v>
      </c>
      <c r="E29" s="93"/>
      <c r="F29" s="93"/>
      <c r="G29" s="93"/>
      <c r="H29" s="94"/>
      <c r="J29" s="250" t="s">
        <v>31</v>
      </c>
      <c r="K29" s="251"/>
      <c r="L29" s="252"/>
      <c r="M29" s="182" t="s">
        <v>195</v>
      </c>
      <c r="N29" s="193">
        <f>IF(AND(C9=R12,C12=R21),C11-1,
IF(AND(C9=R13,C12=R21),C11-2,0))</f>
        <v>0</v>
      </c>
      <c r="O29" s="27"/>
      <c r="P29" s="74"/>
      <c r="R29" s="95" t="s">
        <v>13</v>
      </c>
    </row>
    <row r="30" spans="2:18" ht="18" x14ac:dyDescent="0.3">
      <c r="B30" s="96"/>
      <c r="C30" s="97"/>
      <c r="D30" s="97"/>
      <c r="E30" s="97"/>
      <c r="F30" s="97"/>
      <c r="G30" s="97"/>
      <c r="H30" s="98"/>
      <c r="J30" s="250" t="s">
        <v>39</v>
      </c>
      <c r="K30" s="251"/>
      <c r="L30" s="252"/>
      <c r="M30" s="182" t="s">
        <v>196</v>
      </c>
      <c r="N30" s="193">
        <f>IF(AND(C9=R12,C12=R22),C11-1,
IF(AND(C9=R13,C12=R22),C11-2,0))</f>
        <v>0</v>
      </c>
      <c r="O30" s="27"/>
      <c r="P30" s="74"/>
      <c r="R30" s="95" t="s">
        <v>14</v>
      </c>
    </row>
    <row r="31" spans="2:18" ht="18" x14ac:dyDescent="0.3">
      <c r="B31" s="96"/>
      <c r="C31" s="97"/>
      <c r="D31" s="97"/>
      <c r="E31" s="97"/>
      <c r="F31" s="97"/>
      <c r="G31" s="97"/>
      <c r="H31" s="98"/>
      <c r="J31" s="250" t="s">
        <v>37</v>
      </c>
      <c r="K31" s="251"/>
      <c r="L31" s="252"/>
      <c r="M31" s="182" t="s">
        <v>198</v>
      </c>
      <c r="N31" s="193">
        <f>IF(OR(D17="невозможно установить, ширина двери должна быть не менее 650 мм",C17="нет"),0,
IF(AND(C9=R8,K5&gt;=900),2,
IF(AND(C9=R8,K5&gt;=650,K5&lt;900),1,
IF(AND(C14=R26,OR(C9=R9,C9=R11,C9=R15),K5&gt;=900),4,
IF(AND(C14=R26,OR(C9=R9,C9=R11,C9=R15),K5&lt;900),2,
IF(AND(C14=R25,OR(C9=R9,C9=R11,C9=R15)),2,
IF(AND(C9=R10,K5&gt;=900),4,
IF(AND(C9=R10,K5&gt;=650,K5&lt;900),2,
IF(AND(C9=R14,K5&gt;=900),6,
IF(AND(C9=R14,K5&gt;=650,K5&lt;900),3,
IF(C9=R12,C10,
IF(C9=R13,C10-1,0))))))))))))</f>
        <v>0</v>
      </c>
      <c r="O31" s="27"/>
      <c r="P31" s="74"/>
      <c r="R31" s="95" t="s">
        <v>15</v>
      </c>
    </row>
    <row r="32" spans="2:18" ht="18" x14ac:dyDescent="0.3">
      <c r="B32" s="99" t="s">
        <v>83</v>
      </c>
      <c r="C32" s="100" t="s">
        <v>84</v>
      </c>
      <c r="D32" s="101" t="s">
        <v>53</v>
      </c>
      <c r="E32" s="100" t="s">
        <v>85</v>
      </c>
      <c r="F32" s="100" t="s">
        <v>86</v>
      </c>
      <c r="G32" s="100" t="s">
        <v>105</v>
      </c>
      <c r="H32" s="102" t="s">
        <v>106</v>
      </c>
      <c r="J32" s="245" t="s">
        <v>199</v>
      </c>
      <c r="K32" s="246"/>
      <c r="L32" s="246"/>
      <c r="M32" s="182" t="s">
        <v>163</v>
      </c>
      <c r="N32" s="193">
        <f>M14*2+M15*2+M16*2</f>
        <v>16</v>
      </c>
      <c r="O32" s="27"/>
      <c r="P32" s="74"/>
    </row>
    <row r="33" spans="2:18" ht="18" x14ac:dyDescent="0.3">
      <c r="B33" s="103" t="s">
        <v>87</v>
      </c>
      <c r="C33" s="34" t="s">
        <v>13</v>
      </c>
      <c r="D33" s="126">
        <v>0</v>
      </c>
      <c r="E33" s="35">
        <f>K6-IF(E37=0,0,IF(C37=R29,E37,IF(C37=R30,E37+2,E37+3)))-IF(E36=0,0,IF(C36=R29,E36,IF(C36=R30,E36+2,E36+3)))-IF(E35=0,0,IF(C35=R29,E35,IF(C35=R30,E35+2,E35+3)))-IF(E34=0,0,IF(C34=R29,E34,IF(C34=R30,E34+2,E34+3)))-44-IF(C33=R30,2,IF(C33=R31,3,0))-C7*8</f>
        <v>-104</v>
      </c>
      <c r="F33" s="104">
        <f>IF(C33=$R$31,$K$5-63,IF(C33=$R$30,$K$5-62,$K$5-60))</f>
        <v>-43</v>
      </c>
      <c r="G33" s="105">
        <f>$C$10</f>
        <v>4</v>
      </c>
      <c r="H33" s="106">
        <f>E33*F33*D33*G33/1000000</f>
        <v>0</v>
      </c>
      <c r="I33" s="107">
        <f>IF(E33&lt;&gt;0,1,0)</f>
        <v>1</v>
      </c>
      <c r="J33" s="247" t="s">
        <v>45</v>
      </c>
      <c r="K33" s="248"/>
      <c r="L33" s="249"/>
      <c r="M33" s="182" t="s">
        <v>192</v>
      </c>
      <c r="N33" s="202">
        <f>IF(OR(C9=R8,C9=R9),ROUNDUP(L11/500+1,0),0)</f>
        <v>0</v>
      </c>
      <c r="O33" s="27"/>
      <c r="P33" s="19"/>
    </row>
    <row r="34" spans="2:18" ht="18" x14ac:dyDescent="0.3">
      <c r="B34" s="103" t="s">
        <v>88</v>
      </c>
      <c r="C34" s="34" t="s">
        <v>13</v>
      </c>
      <c r="D34" s="126">
        <v>0</v>
      </c>
      <c r="E34" s="36">
        <v>0</v>
      </c>
      <c r="F34" s="104">
        <f>IF(C34=$R$31,$K$5-63,IF(C34=$R$30,$K$5-62,$K$5-60))</f>
        <v>-43</v>
      </c>
      <c r="G34" s="105">
        <f t="shared" ref="G34:G36" si="0">IF(E34&lt;&gt;0,$C$10,0)</f>
        <v>0</v>
      </c>
      <c r="H34" s="106">
        <f t="shared" ref="H34:H37" si="1">E34*F34*D34*G34/1000000</f>
        <v>0</v>
      </c>
      <c r="I34" s="107">
        <f t="shared" ref="I34:I37" si="2">IF(E34&lt;&gt;0,1,0)</f>
        <v>0</v>
      </c>
      <c r="J34" s="247" t="s">
        <v>188</v>
      </c>
      <c r="K34" s="248"/>
      <c r="L34" s="249"/>
      <c r="M34" s="182" t="s">
        <v>187</v>
      </c>
      <c r="N34" s="193">
        <f>IF(OR(C9=R8,C9=R9),2,0)</f>
        <v>0</v>
      </c>
      <c r="O34" s="27"/>
      <c r="P34" s="74"/>
    </row>
    <row r="35" spans="2:18" ht="18" x14ac:dyDescent="0.3">
      <c r="B35" s="103" t="s">
        <v>89</v>
      </c>
      <c r="C35" s="34" t="s">
        <v>13</v>
      </c>
      <c r="D35" s="126">
        <v>0</v>
      </c>
      <c r="E35" s="36">
        <v>0</v>
      </c>
      <c r="F35" s="104">
        <f>IF(C35=$R$31,$K$5-63,IF(C35=$R$30,$K$5-62,$K$5-60))</f>
        <v>-43</v>
      </c>
      <c r="G35" s="105">
        <f t="shared" si="0"/>
        <v>0</v>
      </c>
      <c r="H35" s="106">
        <f t="shared" si="1"/>
        <v>0</v>
      </c>
      <c r="I35" s="107">
        <f t="shared" si="2"/>
        <v>0</v>
      </c>
      <c r="J35" s="250" t="s">
        <v>56</v>
      </c>
      <c r="K35" s="251"/>
      <c r="L35" s="252"/>
      <c r="M35" s="182" t="s">
        <v>164</v>
      </c>
      <c r="N35" s="194">
        <f>ROUNDUP((IF(C33=R30,(E33+F33)*2*G33,0)+IF(C34=R30,(E34+F34)*2*G34,0)+IF(C35=R30,(E35+F35)*2*G35,0)+IF(C36=R30,(E36+F36)*2*G36,0)+IF(C37=R30,(E37+F37)*2*G37,0))/1000,0)</f>
        <v>0</v>
      </c>
      <c r="O35" s="27"/>
      <c r="P35" s="74"/>
      <c r="R35" s="110" t="s">
        <v>92</v>
      </c>
    </row>
    <row r="36" spans="2:18" ht="18" x14ac:dyDescent="0.3">
      <c r="B36" s="103" t="s">
        <v>90</v>
      </c>
      <c r="C36" s="34" t="s">
        <v>13</v>
      </c>
      <c r="D36" s="126">
        <v>0</v>
      </c>
      <c r="E36" s="36">
        <v>0</v>
      </c>
      <c r="F36" s="104">
        <f>IF(C36=$R$31,$K$5-63,IF(C36=$R$30,$K$5-62,$K$5-60))</f>
        <v>-43</v>
      </c>
      <c r="G36" s="105">
        <f t="shared" si="0"/>
        <v>0</v>
      </c>
      <c r="H36" s="106">
        <f t="shared" si="1"/>
        <v>0</v>
      </c>
      <c r="I36" s="107">
        <f t="shared" si="2"/>
        <v>0</v>
      </c>
      <c r="J36" s="250" t="s">
        <v>57</v>
      </c>
      <c r="K36" s="251"/>
      <c r="L36" s="252"/>
      <c r="M36" s="182" t="s">
        <v>165</v>
      </c>
      <c r="N36" s="194">
        <f>ROUNDUP((IF(C33=R31,(E33+F33)*2*G33,0)+IF(C34=R31,(E34+F34)*2*G34,0)+IF(C35=R31,(E35+F35)*2*G35,0)+IF(C36=R31,(E36+F36)*2*G36,0)+IF(C37=R31,(E37+F37)*2*G37,0))/1000,0)</f>
        <v>0</v>
      </c>
      <c r="O36" s="27"/>
      <c r="P36" s="74"/>
      <c r="R36" s="110" t="s">
        <v>68</v>
      </c>
    </row>
    <row r="37" spans="2:18" ht="18.600000000000001" thickBot="1" x14ac:dyDescent="0.35">
      <c r="B37" s="111" t="s">
        <v>91</v>
      </c>
      <c r="C37" s="34" t="s">
        <v>13</v>
      </c>
      <c r="D37" s="126">
        <v>0</v>
      </c>
      <c r="E37" s="36">
        <v>0</v>
      </c>
      <c r="F37" s="104">
        <f>IF(C37=$R$31,$K$5-63,IF(C37=$R$30,$K$5-62,$K$5-60))</f>
        <v>-43</v>
      </c>
      <c r="G37" s="105">
        <f>IF(E37&lt;&gt;0,$C$10,0)</f>
        <v>0</v>
      </c>
      <c r="H37" s="106">
        <f t="shared" si="1"/>
        <v>0</v>
      </c>
      <c r="I37" s="107">
        <f t="shared" si="2"/>
        <v>0</v>
      </c>
      <c r="J37" s="250" t="s">
        <v>103</v>
      </c>
      <c r="K37" s="251"/>
      <c r="L37" s="252"/>
      <c r="M37" s="182" t="s">
        <v>197</v>
      </c>
      <c r="N37" s="193">
        <f>IF(AND(C16=R25,OR(C9=R12,C9=R8,C9=R13)),1,IF(AND(OR(C9=R10,C9=R9,C9=R11,C9=R15),C16=R25),2,IF(AND(C9=R14,C16=R25),3,0)))</f>
        <v>0</v>
      </c>
      <c r="O37" s="27"/>
      <c r="P37" s="74"/>
    </row>
    <row r="38" spans="2:18" ht="18.600000000000001" thickBot="1" x14ac:dyDescent="0.35">
      <c r="B38" s="96"/>
      <c r="C38" s="97"/>
      <c r="D38" s="97"/>
      <c r="E38" s="263" t="s">
        <v>54</v>
      </c>
      <c r="F38" s="264"/>
      <c r="G38" s="265"/>
      <c r="H38" s="112">
        <f>SUM(H33:H37)</f>
        <v>0</v>
      </c>
      <c r="J38" s="250" t="s">
        <v>55</v>
      </c>
      <c r="K38" s="251"/>
      <c r="L38" s="252"/>
      <c r="M38" s="182" t="s">
        <v>166</v>
      </c>
      <c r="N38" s="193">
        <f>IF(C15=R38,N32,0)</f>
        <v>0</v>
      </c>
      <c r="O38" s="27"/>
      <c r="P38" s="18"/>
      <c r="R38" s="12" t="s">
        <v>55</v>
      </c>
    </row>
    <row r="39" spans="2:18" ht="18" x14ac:dyDescent="0.3">
      <c r="B39" s="96"/>
      <c r="C39" s="113" t="str">
        <f>IF((SUM(I33:I37)/C29)&lt;&gt;1,R45,R46)</f>
        <v>Верно внесены высоты вставок</v>
      </c>
      <c r="D39" s="93">
        <f>IF(C39=R46,1,0)</f>
        <v>1</v>
      </c>
      <c r="E39" s="93"/>
      <c r="F39" s="93"/>
      <c r="G39" s="93"/>
      <c r="H39" s="98"/>
      <c r="J39" s="250" t="s">
        <v>131</v>
      </c>
      <c r="K39" s="251"/>
      <c r="L39" s="252"/>
      <c r="M39" s="165" t="s">
        <v>167</v>
      </c>
      <c r="N39" s="195">
        <f>IF(C15=R39,N32,0)</f>
        <v>0</v>
      </c>
      <c r="O39" s="27"/>
      <c r="P39" s="18"/>
      <c r="R39" s="114" t="s">
        <v>120</v>
      </c>
    </row>
    <row r="40" spans="2:18" ht="18" x14ac:dyDescent="0.3">
      <c r="B40" s="96"/>
      <c r="C40" s="97"/>
      <c r="D40" s="97"/>
      <c r="E40" s="97"/>
      <c r="F40" s="97"/>
      <c r="G40" s="97"/>
      <c r="H40" s="98"/>
      <c r="J40" s="253" t="s">
        <v>51</v>
      </c>
      <c r="K40" s="254"/>
      <c r="L40" s="255"/>
      <c r="M40" s="182" t="s">
        <v>168</v>
      </c>
      <c r="N40" s="196">
        <f>IF(C15=R41,ROUNDUP(L10*M10/1000,0),0)</f>
        <v>0</v>
      </c>
      <c r="O40" s="27"/>
      <c r="P40" s="18"/>
      <c r="R40" s="114" t="s">
        <v>107</v>
      </c>
    </row>
    <row r="41" spans="2:18" ht="18" x14ac:dyDescent="0.3">
      <c r="B41" s="96"/>
      <c r="C41" s="115"/>
      <c r="D41" s="115"/>
      <c r="E41" s="116"/>
      <c r="F41" s="116"/>
      <c r="G41" s="116"/>
      <c r="H41" s="98"/>
      <c r="J41" s="253" t="s">
        <v>107</v>
      </c>
      <c r="K41" s="254"/>
      <c r="L41" s="255"/>
      <c r="M41" s="182" t="s">
        <v>169</v>
      </c>
      <c r="N41" s="196">
        <f>IF(C15=R40,ROUNDUP(L10*M10/1000,0),0)</f>
        <v>-1</v>
      </c>
      <c r="O41" s="27"/>
      <c r="P41" s="18"/>
      <c r="R41" s="12" t="s">
        <v>51</v>
      </c>
    </row>
    <row r="42" spans="2:18" ht="18" x14ac:dyDescent="0.3">
      <c r="B42" s="96"/>
      <c r="C42" s="97"/>
      <c r="D42" s="97"/>
      <c r="E42" s="97"/>
      <c r="F42" s="97"/>
      <c r="G42" s="97"/>
      <c r="H42" s="98"/>
      <c r="J42" s="253" t="s">
        <v>124</v>
      </c>
      <c r="K42" s="254"/>
      <c r="L42" s="255"/>
      <c r="M42" s="161" t="s">
        <v>170</v>
      </c>
      <c r="N42" s="202">
        <f>IF(N41&gt;0,M10*2,0)</f>
        <v>0</v>
      </c>
      <c r="O42" s="27"/>
      <c r="P42" s="18"/>
      <c r="R42" s="19"/>
    </row>
    <row r="43" spans="2:18" ht="18" x14ac:dyDescent="0.3">
      <c r="B43" s="96"/>
      <c r="C43" s="116" t="str">
        <f>IF(AND(SUM(I33:I37)/C29=1,E37=0,C29&lt;&gt;1),R49,R50)</f>
        <v xml:space="preserve"> </v>
      </c>
      <c r="D43" s="116"/>
      <c r="E43" s="116"/>
      <c r="F43" s="116"/>
      <c r="G43" s="116"/>
      <c r="H43" s="98"/>
      <c r="J43" s="253" t="s">
        <v>125</v>
      </c>
      <c r="K43" s="254"/>
      <c r="L43" s="255"/>
      <c r="M43" s="182" t="s">
        <v>201</v>
      </c>
      <c r="N43" s="202">
        <f>C18</f>
        <v>0</v>
      </c>
      <c r="O43" s="27"/>
      <c r="P43" s="18"/>
    </row>
    <row r="44" spans="2:18" ht="18" x14ac:dyDescent="0.3">
      <c r="B44" s="96"/>
      <c r="C44" s="97"/>
      <c r="D44" s="97"/>
      <c r="E44" s="97"/>
      <c r="F44" s="97"/>
      <c r="G44" s="97"/>
      <c r="H44" s="98"/>
      <c r="J44" s="253" t="s">
        <v>126</v>
      </c>
      <c r="K44" s="254"/>
      <c r="L44" s="255"/>
      <c r="M44" s="182" t="s">
        <v>203</v>
      </c>
      <c r="N44" s="202">
        <f>IF(OR(D19="невозможно установить",C19="нет"),0,
IF(OR(C9=R9,C9=R11,C9=R15),1,0))</f>
        <v>0</v>
      </c>
      <c r="O44" s="27"/>
      <c r="P44" s="18"/>
    </row>
    <row r="45" spans="2:18" ht="18.600000000000001" thickBot="1" x14ac:dyDescent="0.35">
      <c r="B45" s="96"/>
      <c r="C45" s="97"/>
      <c r="D45" s="97"/>
      <c r="E45" s="97"/>
      <c r="F45" s="97"/>
      <c r="G45" s="97"/>
      <c r="H45" s="98"/>
      <c r="J45" s="256" t="s">
        <v>127</v>
      </c>
      <c r="K45" s="257"/>
      <c r="L45" s="258"/>
      <c r="M45" s="56" t="s">
        <v>202</v>
      </c>
      <c r="N45" s="197">
        <f>IF(C20=R26,0,
IF(C9=R10,1,
IF(C9=R14,2,
IF(AND(OR(C9=R12,C9=R13),C13=R25),1,
IF(AND(C9=R13,C13=R26),C11-1,0)))))</f>
        <v>0</v>
      </c>
      <c r="O45" s="27"/>
      <c r="P45" s="18"/>
      <c r="R45" s="110" t="s">
        <v>94</v>
      </c>
    </row>
    <row r="46" spans="2:18" ht="18" x14ac:dyDescent="0.35">
      <c r="B46" s="117"/>
      <c r="C46" s="118"/>
      <c r="D46" s="93"/>
      <c r="E46" s="93"/>
      <c r="F46" s="93"/>
      <c r="G46" s="93"/>
      <c r="H46" s="98"/>
      <c r="J46" s="26"/>
      <c r="K46" s="19"/>
      <c r="L46" s="244"/>
      <c r="M46" s="244"/>
      <c r="N46" s="244"/>
      <c r="O46" s="27"/>
      <c r="P46" s="18"/>
      <c r="R46" s="110" t="s">
        <v>95</v>
      </c>
    </row>
    <row r="47" spans="2:18" x14ac:dyDescent="0.3">
      <c r="B47" s="26"/>
      <c r="C47" s="19"/>
      <c r="D47" s="19"/>
      <c r="E47" s="19"/>
      <c r="F47" s="19"/>
      <c r="G47" s="19"/>
      <c r="H47" s="27"/>
      <c r="J47" s="26"/>
      <c r="K47" s="19"/>
      <c r="L47" s="19"/>
      <c r="M47" s="19"/>
      <c r="N47" s="19"/>
      <c r="O47" s="27"/>
      <c r="P47" s="18"/>
    </row>
    <row r="48" spans="2:18" ht="18" x14ac:dyDescent="0.35">
      <c r="B48" s="117"/>
      <c r="C48" s="118"/>
      <c r="D48" s="93"/>
      <c r="E48" s="93"/>
      <c r="F48" s="93"/>
      <c r="G48" s="93"/>
      <c r="H48" s="94"/>
      <c r="J48" s="26"/>
      <c r="K48" s="19"/>
      <c r="L48" s="19"/>
      <c r="M48" s="19"/>
      <c r="N48" s="19"/>
      <c r="O48" s="27"/>
      <c r="P48" s="119"/>
    </row>
    <row r="49" spans="2:20" ht="18" x14ac:dyDescent="0.35">
      <c r="B49" s="117"/>
      <c r="C49" s="118"/>
      <c r="D49" s="93"/>
      <c r="E49" s="93"/>
      <c r="F49" s="93"/>
      <c r="G49" s="93"/>
      <c r="H49" s="94"/>
      <c r="J49" s="26"/>
      <c r="K49" s="19"/>
      <c r="L49" s="19"/>
      <c r="M49" s="19"/>
      <c r="N49" s="19"/>
      <c r="O49" s="27"/>
      <c r="P49" s="120"/>
      <c r="R49" s="121" t="s">
        <v>104</v>
      </c>
    </row>
    <row r="50" spans="2:20" ht="18" x14ac:dyDescent="0.35">
      <c r="B50" s="117"/>
      <c r="C50" s="118"/>
      <c r="D50" s="93"/>
      <c r="E50" s="93"/>
      <c r="F50" s="93"/>
      <c r="G50" s="93"/>
      <c r="H50" s="94"/>
      <c r="J50" s="26"/>
      <c r="K50" s="19"/>
      <c r="L50" s="19"/>
      <c r="M50" s="19"/>
      <c r="N50" s="19"/>
      <c r="O50" s="27"/>
      <c r="P50" s="12"/>
      <c r="R50" s="12" t="s">
        <v>68</v>
      </c>
    </row>
    <row r="51" spans="2:20" ht="18.600000000000001" thickBot="1" x14ac:dyDescent="0.4">
      <c r="B51" s="122"/>
      <c r="C51" s="123"/>
      <c r="D51" s="124"/>
      <c r="E51" s="124"/>
      <c r="F51" s="124"/>
      <c r="G51" s="124"/>
      <c r="H51" s="125"/>
      <c r="J51" s="32"/>
      <c r="K51" s="31"/>
      <c r="L51" s="229"/>
      <c r="M51" s="229"/>
      <c r="N51" s="229"/>
      <c r="O51" s="230"/>
      <c r="R51" s="19"/>
    </row>
    <row r="52" spans="2:20" x14ac:dyDescent="0.3">
      <c r="R52" s="12" t="s">
        <v>205</v>
      </c>
    </row>
    <row r="53" spans="2:20" x14ac:dyDescent="0.3">
      <c r="R53" s="12" t="s">
        <v>111</v>
      </c>
    </row>
    <row r="54" spans="2:20" x14ac:dyDescent="0.3">
      <c r="R54" s="12" t="s">
        <v>206</v>
      </c>
    </row>
    <row r="55" spans="2:20" x14ac:dyDescent="0.3">
      <c r="R55" s="12" t="s">
        <v>112</v>
      </c>
    </row>
    <row r="56" spans="2:20" x14ac:dyDescent="0.3">
      <c r="R56" s="12" t="s">
        <v>34</v>
      </c>
    </row>
    <row r="57" spans="2:20" x14ac:dyDescent="0.3">
      <c r="R57" s="12" t="s">
        <v>35</v>
      </c>
    </row>
    <row r="58" spans="2:20" x14ac:dyDescent="0.3">
      <c r="R58" s="12" t="s">
        <v>207</v>
      </c>
    </row>
    <row r="59" spans="2:20" x14ac:dyDescent="0.3">
      <c r="R59" s="12" t="s">
        <v>208</v>
      </c>
    </row>
    <row r="60" spans="2:20" x14ac:dyDescent="0.3">
      <c r="R60" s="19"/>
    </row>
    <row r="61" spans="2:20" ht="15.6" x14ac:dyDescent="0.3">
      <c r="T61" s="67">
        <v>0</v>
      </c>
    </row>
    <row r="62" spans="2:20" ht="15.6" x14ac:dyDescent="0.3">
      <c r="T62" s="67">
        <v>1</v>
      </c>
    </row>
    <row r="63" spans="2:20" ht="15.6" x14ac:dyDescent="0.3">
      <c r="T63" s="67">
        <v>2</v>
      </c>
    </row>
    <row r="64" spans="2:20" ht="15.6" x14ac:dyDescent="0.3">
      <c r="T64" s="67">
        <v>3</v>
      </c>
    </row>
    <row r="65" spans="18:20" ht="15.6" x14ac:dyDescent="0.3">
      <c r="T65" s="67">
        <v>4</v>
      </c>
    </row>
    <row r="66" spans="18:20" ht="15.6" x14ac:dyDescent="0.3">
      <c r="T66" s="67">
        <v>5</v>
      </c>
    </row>
    <row r="71" spans="18:20" x14ac:dyDescent="0.3">
      <c r="R71" s="12" t="s">
        <v>146</v>
      </c>
    </row>
    <row r="72" spans="18:20" x14ac:dyDescent="0.3">
      <c r="R72" s="12" t="s">
        <v>145</v>
      </c>
    </row>
  </sheetData>
  <sheetProtection algorithmName="SHA-512" hashValue="/rzcMXluPSE1jEL0lwErJruCHFIB1SvIj1VeowhT4pHHzBCHWGeJ4cKZHr1aXqLQbSZ9fGDcFUSQFFJS4dtE3g==" saltValue="ZVkEL4MfnkdgLx5KcQq7ag==" spinCount="100000" sheet="1" selectLockedCells="1"/>
  <mergeCells count="56">
    <mergeCell ref="D13:H13"/>
    <mergeCell ref="D16:H16"/>
    <mergeCell ref="D19:H19"/>
    <mergeCell ref="D10:H10"/>
    <mergeCell ref="D22:H22"/>
    <mergeCell ref="D14:H14"/>
    <mergeCell ref="D15:H15"/>
    <mergeCell ref="J8:M8"/>
    <mergeCell ref="J22:L22"/>
    <mergeCell ref="J23:L23"/>
    <mergeCell ref="J25:L25"/>
    <mergeCell ref="J26:L26"/>
    <mergeCell ref="J24:L24"/>
    <mergeCell ref="D17:H17"/>
    <mergeCell ref="J17:O17"/>
    <mergeCell ref="B23:H25"/>
    <mergeCell ref="D18:H18"/>
    <mergeCell ref="E38:G38"/>
    <mergeCell ref="D20:H20"/>
    <mergeCell ref="J33:L33"/>
    <mergeCell ref="J34:L34"/>
    <mergeCell ref="J44:L44"/>
    <mergeCell ref="J30:L30"/>
    <mergeCell ref="J28:L28"/>
    <mergeCell ref="J31:L31"/>
    <mergeCell ref="J45:L45"/>
    <mergeCell ref="J43:L43"/>
    <mergeCell ref="J40:L40"/>
    <mergeCell ref="J39:L39"/>
    <mergeCell ref="J41:L41"/>
    <mergeCell ref="J42:L42"/>
    <mergeCell ref="J29:L29"/>
    <mergeCell ref="J38:L38"/>
    <mergeCell ref="J35:L35"/>
    <mergeCell ref="J36:L36"/>
    <mergeCell ref="D4:H4"/>
    <mergeCell ref="J7:M7"/>
    <mergeCell ref="O12:O13"/>
    <mergeCell ref="D12:H12"/>
    <mergeCell ref="L51:O51"/>
    <mergeCell ref="N12:N13"/>
    <mergeCell ref="D5:H5"/>
    <mergeCell ref="D6:H6"/>
    <mergeCell ref="D7:H7"/>
    <mergeCell ref="D11:H11"/>
    <mergeCell ref="D8:H8"/>
    <mergeCell ref="D9:H9"/>
    <mergeCell ref="L46:N46"/>
    <mergeCell ref="J32:L32"/>
    <mergeCell ref="J27:L27"/>
    <mergeCell ref="J37:L37"/>
    <mergeCell ref="J2:O2"/>
    <mergeCell ref="B1:O1"/>
    <mergeCell ref="B2:H2"/>
    <mergeCell ref="B3:C3"/>
    <mergeCell ref="J3:K3"/>
  </mergeCells>
  <conditionalFormatting sqref="K5:K6 N41 N27:N28 N30:N38 L10:O11 L14:O16 L13:M13 N12:O12 N23:N25">
    <cfRule type="expression" dxfId="116" priority="82">
      <formula>$C$5=0</formula>
    </cfRule>
  </conditionalFormatting>
  <conditionalFormatting sqref="C5:C8 C22 C12:C16">
    <cfRule type="cellIs" dxfId="115" priority="69" operator="greaterThan">
      <formula>0</formula>
    </cfRule>
  </conditionalFormatting>
  <conditionalFormatting sqref="C9">
    <cfRule type="cellIs" dxfId="114" priority="65" operator="greaterThan">
      <formula>0</formula>
    </cfRule>
  </conditionalFormatting>
  <conditionalFormatting sqref="D5:H6">
    <cfRule type="expression" dxfId="113" priority="8">
      <formula>$C5=0</formula>
    </cfRule>
  </conditionalFormatting>
  <conditionalFormatting sqref="N29">
    <cfRule type="expression" dxfId="112" priority="43">
      <formula>$C$5=0</formula>
    </cfRule>
  </conditionalFormatting>
  <conditionalFormatting sqref="C17:C20">
    <cfRule type="cellIs" dxfId="111" priority="39" operator="greaterThan">
      <formula>0</formula>
    </cfRule>
  </conditionalFormatting>
  <conditionalFormatting sqref="N40">
    <cfRule type="expression" dxfId="110" priority="21">
      <formula>$C$5=0</formula>
    </cfRule>
  </conditionalFormatting>
  <conditionalFormatting sqref="N42">
    <cfRule type="expression" dxfId="109" priority="20">
      <formula>$C$5=0</formula>
    </cfRule>
  </conditionalFormatting>
  <conditionalFormatting sqref="N43">
    <cfRule type="expression" dxfId="108" priority="19">
      <formula>$C$5=0</formula>
    </cfRule>
  </conditionalFormatting>
  <conditionalFormatting sqref="N44">
    <cfRule type="expression" dxfId="107" priority="18">
      <formula>$C$5=0</formula>
    </cfRule>
  </conditionalFormatting>
  <conditionalFormatting sqref="N45">
    <cfRule type="expression" dxfId="106" priority="17">
      <formula>$C$5=0</formula>
    </cfRule>
  </conditionalFormatting>
  <conditionalFormatting sqref="D5:H20">
    <cfRule type="expression" dxfId="105" priority="4">
      <formula>$C$6=0</formula>
    </cfRule>
  </conditionalFormatting>
  <conditionalFormatting sqref="D20:H20">
    <cfRule type="expression" dxfId="104" priority="15">
      <formula>$D$20="невозможно установить"</formula>
    </cfRule>
  </conditionalFormatting>
  <conditionalFormatting sqref="K5">
    <cfRule type="expression" dxfId="103" priority="7">
      <formula>AND(OR($K$5&lt;600,$K$5&gt;1200),$C$5&gt;0)</formula>
    </cfRule>
  </conditionalFormatting>
  <conditionalFormatting sqref="N26 N39">
    <cfRule type="expression" dxfId="102" priority="6">
      <formula>$C$5=0</formula>
    </cfRule>
  </conditionalFormatting>
  <conditionalFormatting sqref="H38 E33 F33:H37">
    <cfRule type="expression" dxfId="101" priority="5">
      <formula>$C$5=0</formula>
    </cfRule>
  </conditionalFormatting>
  <conditionalFormatting sqref="K6">
    <cfRule type="expression" dxfId="100" priority="3">
      <formula>$K$6&gt;3200</formula>
    </cfRule>
  </conditionalFormatting>
  <conditionalFormatting sqref="D29:G29">
    <cfRule type="expression" dxfId="99" priority="222">
      <formula>$D$29=#REF!</formula>
    </cfRule>
  </conditionalFormatting>
  <conditionalFormatting sqref="C39">
    <cfRule type="expression" dxfId="98" priority="235">
      <formula>$C$39=$R$45</formula>
    </cfRule>
    <cfRule type="expression" dxfId="97" priority="236">
      <formula>$C$39=$R$46</formula>
    </cfRule>
  </conditionalFormatting>
  <conditionalFormatting sqref="C43">
    <cfRule type="expression" dxfId="96" priority="237">
      <formula>$C$43=$R$49</formula>
    </cfRule>
  </conditionalFormatting>
  <conditionalFormatting sqref="C10">
    <cfRule type="expression" dxfId="95" priority="238">
      <formula>OR($C$9=$R$12,$C$9=$R$13)</formula>
    </cfRule>
  </conditionalFormatting>
  <conditionalFormatting sqref="C11">
    <cfRule type="expression" dxfId="94" priority="239">
      <formula>AND($C$9=$R$13,$C$11&lt;3)</formula>
    </cfRule>
    <cfRule type="expression" dxfId="93" priority="240">
      <formula>OR($C$9=$R$8,$C$9=$R$9,$C$9=$R$10,$C$9=$R$11,$C$9=$R$14,$C$9=$R$15)</formula>
    </cfRule>
    <cfRule type="cellIs" dxfId="92" priority="241" operator="greaterThan">
      <formula>0</formula>
    </cfRule>
  </conditionalFormatting>
  <conditionalFormatting sqref="D19">
    <cfRule type="expression" dxfId="91" priority="242">
      <formula>$C$19=$R$26</formula>
    </cfRule>
    <cfRule type="expression" dxfId="90" priority="243">
      <formula>$D$19="невозможно установить"</formula>
    </cfRule>
  </conditionalFormatting>
  <conditionalFormatting sqref="D20">
    <cfRule type="expression" dxfId="89" priority="244">
      <formula>$C$20=$R$26</formula>
    </cfRule>
  </conditionalFormatting>
  <conditionalFormatting sqref="D17:H17">
    <cfRule type="expression" dxfId="88" priority="245">
      <formula>$C$17="нет"</formula>
    </cfRule>
    <cfRule type="expression" dxfId="87" priority="246">
      <formula>$D$17=$R$71</formula>
    </cfRule>
  </conditionalFormatting>
  <conditionalFormatting sqref="D6">
    <cfRule type="expression" dxfId="86" priority="247">
      <formula>$D$6=$R$18</formula>
    </cfRule>
  </conditionalFormatting>
  <conditionalFormatting sqref="D5:H5">
    <cfRule type="expression" dxfId="85" priority="248">
      <formula>$D$5=$AA$15</formula>
    </cfRule>
  </conditionalFormatting>
  <conditionalFormatting sqref="L12:M12">
    <cfRule type="expression" dxfId="84" priority="1">
      <formula>$C$5=0</formula>
    </cfRule>
  </conditionalFormatting>
  <dataValidations count="9">
    <dataValidation type="list" allowBlank="1" showInputMessage="1" showErrorMessage="1" sqref="C13:C14 C19:C20 C16:C17">
      <formula1>$R$25:$R$26</formula1>
    </dataValidation>
    <dataValidation type="list" allowBlank="1" showInputMessage="1" showErrorMessage="1" sqref="C12">
      <formula1>$R$21:$R$22</formula1>
    </dataValidation>
    <dataValidation type="list" allowBlank="1" showInputMessage="1" showErrorMessage="1" sqref="C22 C33:C37">
      <formula1>$R$29:$R$31</formula1>
    </dataValidation>
    <dataValidation type="list" allowBlank="1" showInputMessage="1" showErrorMessage="1" sqref="C9">
      <formula1>$R$8:$R$15</formula1>
    </dataValidation>
    <dataValidation type="list" allowBlank="1" showInputMessage="1" showErrorMessage="1" sqref="C15">
      <formula1>$R$38:$R$41</formula1>
    </dataValidation>
    <dataValidation type="whole" allowBlank="1" showInputMessage="1" showErrorMessage="1" sqref="C18">
      <formula1>0</formula1>
      <formula2>20</formula2>
    </dataValidation>
    <dataValidation type="list" allowBlank="1" showInputMessage="1" showErrorMessage="1" sqref="C7">
      <formula1>$T$61:$T$65</formula1>
    </dataValidation>
    <dataValidation type="list" allowBlank="1" showInputMessage="1" showErrorMessage="1" sqref="C8">
      <formula1>$R$52:$R$59</formula1>
    </dataValidation>
    <dataValidation type="list" allowBlank="1" showInputMessage="1" showErrorMessage="1" sqref="C11">
      <formula1>IF($C$9=$R$13,$T$64:$T$66,$T$63:$T$66)</formula1>
    </dataValidation>
  </dataValidation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3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" id="{7A2A9378-D27D-4D00-AE9B-EAD8E7731CC9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D39:G39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1"/>
    <pageSetUpPr fitToPage="1"/>
  </sheetPr>
  <dimension ref="B1:S73"/>
  <sheetViews>
    <sheetView zoomScale="70" zoomScaleNormal="70" zoomScalePageLayoutView="110" workbookViewId="0">
      <selection activeCell="C5" sqref="C5"/>
    </sheetView>
  </sheetViews>
  <sheetFormatPr defaultColWidth="8.88671875" defaultRowHeight="14.4" x14ac:dyDescent="0.3"/>
  <cols>
    <col min="1" max="1" width="1" style="12" customWidth="1"/>
    <col min="2" max="2" width="43.5546875" style="12" customWidth="1"/>
    <col min="3" max="3" width="32" style="12" customWidth="1"/>
    <col min="4" max="8" width="14.6640625" style="12" customWidth="1"/>
    <col min="9" max="9" width="1.88671875" style="12" customWidth="1"/>
    <col min="10" max="10" width="27" style="12" customWidth="1"/>
    <col min="11" max="11" width="15.88671875" style="12" customWidth="1"/>
    <col min="12" max="12" width="12.88671875" style="12" customWidth="1"/>
    <col min="13" max="13" width="15.6640625" style="12" customWidth="1"/>
    <col min="14" max="14" width="13.6640625" style="12" customWidth="1"/>
    <col min="15" max="15" width="16.6640625" style="12" customWidth="1"/>
    <col min="16" max="16" width="25.21875" style="12" hidden="1" customWidth="1"/>
    <col min="17" max="17" width="23" style="12" hidden="1" customWidth="1"/>
    <col min="18" max="18" width="8.88671875" style="12" hidden="1" customWidth="1"/>
    <col min="19" max="19" width="10.88671875" style="12" hidden="1" customWidth="1"/>
    <col min="20" max="16384" width="8.88671875" style="12"/>
  </cols>
  <sheetData>
    <row r="1" spans="2:19" ht="18.600000000000001" thickBot="1" x14ac:dyDescent="0.35">
      <c r="B1" s="214" t="s">
        <v>77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79"/>
    </row>
    <row r="2" spans="2:19" s="13" customFormat="1" x14ac:dyDescent="0.3">
      <c r="B2" s="216" t="s">
        <v>79</v>
      </c>
      <c r="C2" s="217"/>
      <c r="D2" s="217"/>
      <c r="E2" s="217"/>
      <c r="F2" s="217"/>
      <c r="G2" s="217"/>
      <c r="H2" s="218"/>
      <c r="J2" s="211" t="s">
        <v>80</v>
      </c>
      <c r="K2" s="212"/>
      <c r="L2" s="212"/>
      <c r="M2" s="212"/>
      <c r="N2" s="212"/>
      <c r="O2" s="213"/>
      <c r="P2" s="66"/>
      <c r="Q2" s="66"/>
      <c r="R2" s="66"/>
    </row>
    <row r="3" spans="2:19" s="16" customFormat="1" ht="15.6" x14ac:dyDescent="0.3">
      <c r="B3" s="219" t="s">
        <v>17</v>
      </c>
      <c r="C3" s="220"/>
      <c r="D3" s="14"/>
      <c r="E3" s="14"/>
      <c r="F3" s="14"/>
      <c r="G3" s="14"/>
      <c r="H3" s="15"/>
      <c r="J3" s="219" t="s">
        <v>143</v>
      </c>
      <c r="K3" s="220"/>
      <c r="L3" s="14"/>
      <c r="M3" s="14"/>
      <c r="N3" s="14"/>
      <c r="O3" s="15"/>
    </row>
    <row r="4" spans="2:19" ht="15.6" x14ac:dyDescent="0.3">
      <c r="B4" s="17" t="s">
        <v>6</v>
      </c>
      <c r="C4" s="62" t="s">
        <v>18</v>
      </c>
      <c r="D4" s="291" t="s">
        <v>21</v>
      </c>
      <c r="E4" s="292"/>
      <c r="F4" s="292"/>
      <c r="G4" s="292"/>
      <c r="H4" s="293"/>
      <c r="J4" s="49" t="s">
        <v>0</v>
      </c>
      <c r="K4" s="179" t="s">
        <v>18</v>
      </c>
      <c r="L4" s="18"/>
      <c r="M4" s="18"/>
      <c r="N4" s="18"/>
      <c r="O4" s="25"/>
    </row>
    <row r="5" spans="2:19" ht="18" x14ac:dyDescent="0.3">
      <c r="B5" s="43" t="s">
        <v>96</v>
      </c>
      <c r="C5" s="23">
        <v>0</v>
      </c>
      <c r="D5" s="233" t="str">
        <f>IF(OR(K5&gt;600,K5&lt;300),Q63,Q64)</f>
        <v>не рекомендуем, ширина створки двери от 300 мм до 600 мм</v>
      </c>
      <c r="E5" s="234"/>
      <c r="F5" s="234"/>
      <c r="G5" s="234"/>
      <c r="H5" s="235"/>
      <c r="J5" s="50" t="s">
        <v>26</v>
      </c>
      <c r="K5" s="52">
        <f>ROUNDDOWN(IF(C10=Q10,(C5-10-10-2)/2,
IF(C10=Q11,(C5-10-10-2-2-10)/4,0)),0)</f>
        <v>-11</v>
      </c>
      <c r="L5" s="19"/>
      <c r="M5" s="19"/>
      <c r="N5" s="19"/>
      <c r="O5" s="27"/>
    </row>
    <row r="6" spans="2:19" ht="18" x14ac:dyDescent="0.3">
      <c r="B6" s="43" t="s">
        <v>97</v>
      </c>
      <c r="C6" s="23">
        <v>0</v>
      </c>
      <c r="D6" s="233" t="str">
        <f>IF(K6&gt;3200,Q58,Q59)</f>
        <v>допустимо</v>
      </c>
      <c r="E6" s="234"/>
      <c r="F6" s="234"/>
      <c r="G6" s="234"/>
      <c r="H6" s="235"/>
      <c r="J6" s="50" t="s">
        <v>25</v>
      </c>
      <c r="K6" s="52">
        <f>IF(C9=Q7,C6-77,C6-55)</f>
        <v>-77</v>
      </c>
      <c r="L6" s="18"/>
      <c r="M6" s="18"/>
      <c r="N6" s="18"/>
      <c r="O6" s="25"/>
      <c r="Q6" s="12" t="s">
        <v>62</v>
      </c>
    </row>
    <row r="7" spans="2:19" ht="18" x14ac:dyDescent="0.3">
      <c r="B7" s="43" t="s">
        <v>98</v>
      </c>
      <c r="C7" s="24">
        <v>0</v>
      </c>
      <c r="D7" s="236" t="s">
        <v>16</v>
      </c>
      <c r="E7" s="237"/>
      <c r="F7" s="237"/>
      <c r="G7" s="237"/>
      <c r="H7" s="238"/>
      <c r="J7" s="26"/>
      <c r="K7" s="19"/>
      <c r="L7" s="19"/>
      <c r="M7" s="19"/>
      <c r="N7" s="19"/>
      <c r="O7" s="27"/>
      <c r="Q7" s="12" t="s">
        <v>115</v>
      </c>
    </row>
    <row r="8" spans="2:19" ht="18" x14ac:dyDescent="0.3">
      <c r="B8" s="43" t="s">
        <v>99</v>
      </c>
      <c r="C8" s="11" t="s">
        <v>205</v>
      </c>
      <c r="D8" s="239"/>
      <c r="E8" s="240"/>
      <c r="F8" s="240"/>
      <c r="G8" s="240"/>
      <c r="H8" s="241"/>
      <c r="J8" s="219" t="s">
        <v>152</v>
      </c>
      <c r="K8" s="220"/>
      <c r="L8" s="220"/>
      <c r="M8" s="220"/>
      <c r="N8" s="178"/>
      <c r="O8" s="68"/>
      <c r="S8" s="22"/>
    </row>
    <row r="9" spans="2:19" ht="35.1" customHeight="1" x14ac:dyDescent="0.3">
      <c r="B9" s="44" t="s">
        <v>100</v>
      </c>
      <c r="C9" s="30" t="s">
        <v>115</v>
      </c>
      <c r="D9" s="242"/>
      <c r="E9" s="239"/>
      <c r="F9" s="239"/>
      <c r="G9" s="239"/>
      <c r="H9" s="243"/>
      <c r="J9" s="49" t="s">
        <v>0</v>
      </c>
      <c r="K9" s="179" t="s">
        <v>1</v>
      </c>
      <c r="L9" s="179" t="s">
        <v>10</v>
      </c>
      <c r="M9" s="179" t="s">
        <v>12</v>
      </c>
      <c r="N9" s="72" t="s">
        <v>78</v>
      </c>
      <c r="O9" s="180" t="s">
        <v>33</v>
      </c>
    </row>
    <row r="10" spans="2:19" ht="18" x14ac:dyDescent="0.3">
      <c r="B10" s="71" t="s">
        <v>101</v>
      </c>
      <c r="C10" s="24">
        <v>1</v>
      </c>
      <c r="D10" s="295" t="s">
        <v>30</v>
      </c>
      <c r="E10" s="296"/>
      <c r="F10" s="296"/>
      <c r="G10" s="296"/>
      <c r="H10" s="297"/>
      <c r="J10" s="51" t="s">
        <v>2</v>
      </c>
      <c r="K10" s="186" t="s">
        <v>155</v>
      </c>
      <c r="L10" s="166">
        <f>K6</f>
        <v>-77</v>
      </c>
      <c r="M10" s="167">
        <f>IF(AND(C6&gt;0,C10=Q10),4,IF(AND(C6&gt;0,C10=Q11),8,0))</f>
        <v>0</v>
      </c>
      <c r="N10" s="189"/>
      <c r="O10" s="192">
        <f>IF(L10&gt;2650,M10,M10/2)</f>
        <v>0</v>
      </c>
      <c r="Q10" s="67">
        <v>1</v>
      </c>
    </row>
    <row r="11" spans="2:19" ht="18" x14ac:dyDescent="0.3">
      <c r="B11" s="45" t="s">
        <v>141</v>
      </c>
      <c r="C11" s="46" t="s">
        <v>58</v>
      </c>
      <c r="D11" s="298" t="s">
        <v>142</v>
      </c>
      <c r="E11" s="299"/>
      <c r="F11" s="299"/>
      <c r="G11" s="299"/>
      <c r="H11" s="300"/>
      <c r="J11" s="51" t="s">
        <v>7</v>
      </c>
      <c r="K11" s="183" t="s">
        <v>159</v>
      </c>
      <c r="L11" s="166">
        <f>C5-2</f>
        <v>-2</v>
      </c>
      <c r="M11" s="167">
        <f>IF(C5=0,0,1)</f>
        <v>0</v>
      </c>
      <c r="N11" s="188">
        <f>L11*M11</f>
        <v>0</v>
      </c>
      <c r="O11" s="192">
        <f>CEILING((L11*M11)/5000,1)</f>
        <v>0</v>
      </c>
      <c r="Q11" s="67">
        <v>2</v>
      </c>
    </row>
    <row r="12" spans="2:19" ht="19.05" customHeight="1" x14ac:dyDescent="0.3">
      <c r="B12" s="79" t="s">
        <v>119</v>
      </c>
      <c r="C12" s="29" t="s">
        <v>107</v>
      </c>
      <c r="D12" s="277"/>
      <c r="E12" s="236"/>
      <c r="F12" s="236"/>
      <c r="G12" s="236"/>
      <c r="H12" s="238"/>
      <c r="J12" s="51" t="s">
        <v>7</v>
      </c>
      <c r="K12" s="183" t="s">
        <v>186</v>
      </c>
      <c r="L12" s="166">
        <f>IF(C9=Q6,L11,0)</f>
        <v>0</v>
      </c>
      <c r="M12" s="167">
        <f>IF(C9=Q6,1,0)</f>
        <v>0</v>
      </c>
      <c r="N12" s="188">
        <f t="shared" ref="N12:N17" si="0">L12*M12</f>
        <v>0</v>
      </c>
      <c r="O12" s="192">
        <f>CEILING((L12*M12)/5400,1)</f>
        <v>0</v>
      </c>
    </row>
    <row r="13" spans="2:19" ht="19.05" customHeight="1" thickBot="1" x14ac:dyDescent="0.35">
      <c r="B13" s="127" t="s">
        <v>139</v>
      </c>
      <c r="C13" s="42">
        <v>540</v>
      </c>
      <c r="D13" s="301" t="s">
        <v>140</v>
      </c>
      <c r="E13" s="301"/>
      <c r="F13" s="301"/>
      <c r="G13" s="301"/>
      <c r="H13" s="302"/>
      <c r="J13" s="51" t="s">
        <v>8</v>
      </c>
      <c r="K13" s="186" t="s">
        <v>160</v>
      </c>
      <c r="L13" s="166">
        <f>IF(C9=Q7,L11,0)</f>
        <v>-2</v>
      </c>
      <c r="M13" s="167">
        <f>IF(C9=Q7,1,0)</f>
        <v>1</v>
      </c>
      <c r="N13" s="188">
        <f t="shared" si="0"/>
        <v>-2</v>
      </c>
      <c r="O13" s="192">
        <f>CEILING((L13*M13)/5000,1)</f>
        <v>0</v>
      </c>
    </row>
    <row r="14" spans="2:19" ht="19.05" customHeight="1" x14ac:dyDescent="0.3">
      <c r="J14" s="51" t="s">
        <v>3</v>
      </c>
      <c r="K14" s="186" t="s">
        <v>156</v>
      </c>
      <c r="L14" s="166">
        <f>K5-78</f>
        <v>-89</v>
      </c>
      <c r="M14" s="167">
        <f>IF(C5=0,0,C10*2)</f>
        <v>0</v>
      </c>
      <c r="N14" s="188">
        <f t="shared" si="0"/>
        <v>0</v>
      </c>
      <c r="O14" s="192">
        <f>CEILING((L14*M14)/5000,1)</f>
        <v>0</v>
      </c>
      <c r="Q14" s="20" t="s">
        <v>13</v>
      </c>
    </row>
    <row r="15" spans="2:19" ht="15.6" x14ac:dyDescent="0.3">
      <c r="J15" s="51" t="s">
        <v>4</v>
      </c>
      <c r="K15" s="186" t="s">
        <v>157</v>
      </c>
      <c r="L15" s="166">
        <f>K5-78</f>
        <v>-89</v>
      </c>
      <c r="M15" s="167">
        <f>IF(C5=0,0,C10*2)</f>
        <v>0</v>
      </c>
      <c r="N15" s="188">
        <f t="shared" si="0"/>
        <v>0</v>
      </c>
      <c r="O15" s="192">
        <f>CEILING((L15*M15)/5000,1)</f>
        <v>0</v>
      </c>
      <c r="Q15" s="20" t="s">
        <v>14</v>
      </c>
    </row>
    <row r="16" spans="2:19" ht="15.6" x14ac:dyDescent="0.3">
      <c r="B16" s="61" t="s">
        <v>29</v>
      </c>
      <c r="C16" s="61"/>
      <c r="D16" s="61"/>
      <c r="E16" s="61"/>
      <c r="F16" s="61"/>
      <c r="G16" s="61"/>
      <c r="H16" s="61"/>
      <c r="J16" s="51" t="s">
        <v>5</v>
      </c>
      <c r="K16" s="186" t="s">
        <v>158</v>
      </c>
      <c r="L16" s="166">
        <f>IF(C7&gt;0,K5-78,0)</f>
        <v>0</v>
      </c>
      <c r="M16" s="167">
        <f>C7*2*C10</f>
        <v>0</v>
      </c>
      <c r="N16" s="188">
        <f t="shared" si="0"/>
        <v>0</v>
      </c>
      <c r="O16" s="192">
        <f>IF(L16="нет",0,CEILING((L16*M16)/5000,1))</f>
        <v>0</v>
      </c>
      <c r="Q16" s="20" t="s">
        <v>15</v>
      </c>
    </row>
    <row r="17" spans="2:17" ht="15.6" x14ac:dyDescent="0.3">
      <c r="B17" s="294" t="s">
        <v>122</v>
      </c>
      <c r="C17" s="294"/>
      <c r="D17" s="294"/>
      <c r="E17" s="294"/>
      <c r="F17" s="294"/>
      <c r="G17" s="294"/>
      <c r="H17" s="294"/>
      <c r="J17" s="51" t="s">
        <v>24</v>
      </c>
      <c r="K17" s="186" t="s">
        <v>171</v>
      </c>
      <c r="L17" s="166">
        <f>C13</f>
        <v>540</v>
      </c>
      <c r="M17" s="167">
        <f>C10</f>
        <v>1</v>
      </c>
      <c r="N17" s="188">
        <f t="shared" si="0"/>
        <v>540</v>
      </c>
      <c r="O17" s="199">
        <f>CEILING((L17*M17)/5400,1)</f>
        <v>1</v>
      </c>
    </row>
    <row r="18" spans="2:17" ht="15.6" x14ac:dyDescent="0.3">
      <c r="B18" s="294"/>
      <c r="C18" s="294"/>
      <c r="D18" s="294"/>
      <c r="E18" s="294"/>
      <c r="F18" s="294"/>
      <c r="G18" s="294"/>
      <c r="H18" s="294"/>
      <c r="J18" s="259"/>
      <c r="K18" s="260"/>
      <c r="L18" s="260"/>
      <c r="M18" s="260"/>
      <c r="N18" s="260"/>
      <c r="O18" s="261"/>
    </row>
    <row r="19" spans="2:17" ht="15" customHeight="1" x14ac:dyDescent="0.3">
      <c r="B19" s="294"/>
      <c r="C19" s="294"/>
      <c r="D19" s="294"/>
      <c r="E19" s="294"/>
      <c r="F19" s="294"/>
      <c r="G19" s="294"/>
      <c r="H19" s="294"/>
      <c r="J19" s="26"/>
      <c r="K19" s="19"/>
      <c r="L19" s="19"/>
      <c r="M19" s="19"/>
      <c r="N19" s="19"/>
      <c r="O19" s="27"/>
      <c r="Q19" s="12" t="s">
        <v>58</v>
      </c>
    </row>
    <row r="20" spans="2:17" ht="14.25" customHeight="1" x14ac:dyDescent="0.3">
      <c r="J20" s="26"/>
      <c r="K20" s="19"/>
      <c r="L20" s="19"/>
      <c r="M20" s="19"/>
      <c r="N20" s="19"/>
      <c r="O20" s="27"/>
      <c r="Q20" s="12" t="s">
        <v>59</v>
      </c>
    </row>
    <row r="21" spans="2:17" ht="17.25" customHeight="1" thickBot="1" x14ac:dyDescent="0.35">
      <c r="B21" s="85" t="s">
        <v>123</v>
      </c>
      <c r="C21" s="86"/>
      <c r="D21" s="86"/>
      <c r="E21" s="86"/>
      <c r="F21" s="86"/>
      <c r="G21" s="86"/>
      <c r="H21" s="86"/>
      <c r="I21" s="75"/>
      <c r="J21" s="219" t="s">
        <v>151</v>
      </c>
      <c r="K21" s="220"/>
      <c r="L21" s="220"/>
      <c r="M21" s="178"/>
      <c r="N21" s="19"/>
      <c r="O21" s="27"/>
    </row>
    <row r="22" spans="2:17" ht="18.600000000000001" thickBot="1" x14ac:dyDescent="0.35">
      <c r="B22" s="87"/>
      <c r="C22" s="88"/>
      <c r="D22" s="88"/>
      <c r="E22" s="88"/>
      <c r="F22" s="88"/>
      <c r="G22" s="88"/>
      <c r="H22" s="89"/>
      <c r="I22" s="75"/>
      <c r="J22" s="282" t="s">
        <v>0</v>
      </c>
      <c r="K22" s="283"/>
      <c r="L22" s="283"/>
      <c r="M22" s="185" t="s">
        <v>1</v>
      </c>
      <c r="N22" s="128" t="s">
        <v>11</v>
      </c>
      <c r="O22" s="27"/>
    </row>
    <row r="23" spans="2:17" ht="18.600000000000001" thickBot="1" x14ac:dyDescent="0.4">
      <c r="B23" s="90" t="s">
        <v>82</v>
      </c>
      <c r="C23" s="91">
        <f>C7+1</f>
        <v>1</v>
      </c>
      <c r="D23" s="129"/>
      <c r="E23" s="130"/>
      <c r="F23" s="130"/>
      <c r="G23" s="130"/>
      <c r="H23" s="94"/>
      <c r="I23" s="107"/>
      <c r="J23" s="245" t="s">
        <v>46</v>
      </c>
      <c r="K23" s="246"/>
      <c r="L23" s="246"/>
      <c r="M23" s="182" t="s">
        <v>180</v>
      </c>
      <c r="N23" s="202">
        <f>C10</f>
        <v>1</v>
      </c>
      <c r="O23" s="27"/>
    </row>
    <row r="24" spans="2:17" ht="18" x14ac:dyDescent="0.3">
      <c r="B24" s="96"/>
      <c r="C24" s="97"/>
      <c r="D24" s="97"/>
      <c r="E24" s="97"/>
      <c r="F24" s="97"/>
      <c r="G24" s="97"/>
      <c r="H24" s="98"/>
      <c r="I24" s="107"/>
      <c r="J24" s="245" t="s">
        <v>43</v>
      </c>
      <c r="K24" s="246"/>
      <c r="L24" s="246"/>
      <c r="M24" s="182" t="s">
        <v>181</v>
      </c>
      <c r="N24" s="202">
        <f>C10</f>
        <v>1</v>
      </c>
      <c r="O24" s="27"/>
    </row>
    <row r="25" spans="2:17" ht="18" x14ac:dyDescent="0.3">
      <c r="B25" s="96"/>
      <c r="C25" s="97"/>
      <c r="D25" s="97"/>
      <c r="E25" s="97"/>
      <c r="F25" s="97"/>
      <c r="G25" s="97"/>
      <c r="H25" s="98"/>
      <c r="I25" s="107"/>
      <c r="J25" s="245" t="s">
        <v>61</v>
      </c>
      <c r="K25" s="246"/>
      <c r="L25" s="246"/>
      <c r="M25" s="182" t="s">
        <v>182</v>
      </c>
      <c r="N25" s="202">
        <f>IF(AND(C10=Q10,C11=Q20),1,IF(C10=Q11,1,0))</f>
        <v>0</v>
      </c>
      <c r="O25" s="27"/>
    </row>
    <row r="26" spans="2:17" ht="18" x14ac:dyDescent="0.3">
      <c r="B26" s="99" t="s">
        <v>83</v>
      </c>
      <c r="C26" s="100" t="s">
        <v>84</v>
      </c>
      <c r="D26" s="101" t="s">
        <v>53</v>
      </c>
      <c r="E26" s="100" t="s">
        <v>85</v>
      </c>
      <c r="F26" s="100" t="s">
        <v>86</v>
      </c>
      <c r="G26" s="100" t="s">
        <v>105</v>
      </c>
      <c r="H26" s="102" t="s">
        <v>106</v>
      </c>
      <c r="J26" s="245" t="s">
        <v>60</v>
      </c>
      <c r="K26" s="246"/>
      <c r="L26" s="246"/>
      <c r="M26" s="182" t="s">
        <v>183</v>
      </c>
      <c r="N26" s="202">
        <f>IF(AND(C10=Q10,C11=Q19),1,IF(C10=Q11,1,0))</f>
        <v>1</v>
      </c>
      <c r="O26" s="27"/>
    </row>
    <row r="27" spans="2:17" ht="18" x14ac:dyDescent="0.3">
      <c r="B27" s="103" t="s">
        <v>87</v>
      </c>
      <c r="C27" s="34" t="s">
        <v>13</v>
      </c>
      <c r="D27" s="126">
        <v>0</v>
      </c>
      <c r="E27" s="35">
        <f>K6-IF(E31=0,0,IF(C31=Q14,E31,IF(C31=Q15,E31+2,E31+3)))-IF(E30=0,0,IF(C30=Q14,E30,IF(C30=Q15,E30+2,E30+3)))-IF(E29=0,0,IF(C29=Q14,E29,IF(C29=Q15,E29+2,E29+3)))-IF(E28=0,0,IF(C28=Q14,E28,IF(C28=Q15,E28+2,E28+3)))-44-IF(C27=Q15,2,IF(C27=Q16,3,0))-C7*8</f>
        <v>-121</v>
      </c>
      <c r="F27" s="104">
        <f>IF(C27=$Q$16,$K$5-63,IF(C27=$Q$15,$K$5-62,$K$5-60))</f>
        <v>-71</v>
      </c>
      <c r="G27" s="105">
        <f>$C$10*2</f>
        <v>2</v>
      </c>
      <c r="H27" s="106">
        <f>E27*F27*D27*G27/1000000</f>
        <v>0</v>
      </c>
      <c r="I27" s="107">
        <f>IF(E27&lt;&gt;0,1,0)</f>
        <v>1</v>
      </c>
      <c r="J27" s="245" t="s">
        <v>44</v>
      </c>
      <c r="K27" s="246"/>
      <c r="L27" s="246"/>
      <c r="M27" s="182" t="s">
        <v>184</v>
      </c>
      <c r="N27" s="202">
        <f>C10*2</f>
        <v>2</v>
      </c>
      <c r="O27" s="27"/>
    </row>
    <row r="28" spans="2:17" ht="18" x14ac:dyDescent="0.3">
      <c r="B28" s="103" t="s">
        <v>88</v>
      </c>
      <c r="C28" s="34" t="s">
        <v>13</v>
      </c>
      <c r="D28" s="126">
        <v>0</v>
      </c>
      <c r="E28" s="36">
        <v>0</v>
      </c>
      <c r="F28" s="104">
        <f>IF(C28=$Q$16,$K$5-63,IF(C28=$Q$15,$K$5-62,$K$5-60))</f>
        <v>-71</v>
      </c>
      <c r="G28" s="105">
        <f>IF(E28&lt;&gt;0,$C$10*2,0)</f>
        <v>0</v>
      </c>
      <c r="H28" s="106">
        <f t="shared" ref="H28:H31" si="1">E28*F28*D28*G28/1000000</f>
        <v>0</v>
      </c>
      <c r="I28" s="107">
        <f>IF(E28&lt;&gt;0,1,0)</f>
        <v>0</v>
      </c>
      <c r="J28" s="245" t="s">
        <v>48</v>
      </c>
      <c r="K28" s="246"/>
      <c r="L28" s="246"/>
      <c r="M28" s="182" t="s">
        <v>173</v>
      </c>
      <c r="N28" s="200">
        <f>C10</f>
        <v>1</v>
      </c>
      <c r="O28" s="27"/>
    </row>
    <row r="29" spans="2:17" ht="18" x14ac:dyDescent="0.3">
      <c r="B29" s="103" t="s">
        <v>89</v>
      </c>
      <c r="C29" s="34" t="s">
        <v>13</v>
      </c>
      <c r="D29" s="126">
        <v>0</v>
      </c>
      <c r="E29" s="36">
        <v>0</v>
      </c>
      <c r="F29" s="104">
        <f>IF(C29=$Q$16,$K$5-63,IF(C29=$Q$15,$K$5-62,$K$5-60))</f>
        <v>-71</v>
      </c>
      <c r="G29" s="105">
        <f t="shared" ref="G29:G31" si="2">IF(E29&lt;&gt;0,$C$10*2,0)</f>
        <v>0</v>
      </c>
      <c r="H29" s="106">
        <f t="shared" si="1"/>
        <v>0</v>
      </c>
      <c r="I29" s="107">
        <f>IF(E29&lt;&gt;0,1,0)</f>
        <v>0</v>
      </c>
      <c r="J29" s="245" t="s">
        <v>36</v>
      </c>
      <c r="K29" s="246"/>
      <c r="L29" s="246"/>
      <c r="M29" s="182" t="s">
        <v>176</v>
      </c>
      <c r="N29" s="193">
        <f>IF(C13&lt;500,2*C10,C10*ROUNDDOWN(C13/500+1,0))</f>
        <v>2</v>
      </c>
      <c r="O29" s="27"/>
    </row>
    <row r="30" spans="2:17" ht="18" x14ac:dyDescent="0.3">
      <c r="B30" s="103" t="s">
        <v>90</v>
      </c>
      <c r="C30" s="34" t="s">
        <v>13</v>
      </c>
      <c r="D30" s="126">
        <v>0</v>
      </c>
      <c r="E30" s="36">
        <v>0</v>
      </c>
      <c r="F30" s="104">
        <f>IF(C30=$Q$16,$K$5-63,IF(C30=$Q$15,$K$5-62,$K$5-60))</f>
        <v>-71</v>
      </c>
      <c r="G30" s="105">
        <f t="shared" si="2"/>
        <v>0</v>
      </c>
      <c r="H30" s="106">
        <f t="shared" si="1"/>
        <v>0</v>
      </c>
      <c r="I30" s="107">
        <f>IF(E30&lt;&gt;0,1,0)</f>
        <v>0</v>
      </c>
      <c r="J30" s="245" t="s">
        <v>38</v>
      </c>
      <c r="K30" s="246"/>
      <c r="L30" s="246"/>
      <c r="M30" s="182" t="s">
        <v>177</v>
      </c>
      <c r="N30" s="200">
        <f>C10</f>
        <v>1</v>
      </c>
      <c r="O30" s="27"/>
    </row>
    <row r="31" spans="2:17" ht="18.600000000000001" thickBot="1" x14ac:dyDescent="0.35">
      <c r="B31" s="111" t="s">
        <v>91</v>
      </c>
      <c r="C31" s="34" t="s">
        <v>13</v>
      </c>
      <c r="D31" s="126">
        <v>0</v>
      </c>
      <c r="E31" s="36">
        <v>0</v>
      </c>
      <c r="F31" s="104">
        <f>IF(C31=$Q$16,$K$5-63,IF(C31=$Q$15,$K$5-62,$K$5-60))</f>
        <v>-71</v>
      </c>
      <c r="G31" s="105">
        <f t="shared" si="2"/>
        <v>0</v>
      </c>
      <c r="H31" s="106">
        <f t="shared" si="1"/>
        <v>0</v>
      </c>
      <c r="I31" s="107">
        <f>IF(E31&lt;&gt;0,1,0)</f>
        <v>0</v>
      </c>
      <c r="J31" s="245" t="s">
        <v>199</v>
      </c>
      <c r="K31" s="246"/>
      <c r="L31" s="246"/>
      <c r="M31" s="182" t="s">
        <v>163</v>
      </c>
      <c r="N31" s="193">
        <f>(M14+M15+M16)*2-N32</f>
        <v>-2</v>
      </c>
      <c r="O31" s="27"/>
    </row>
    <row r="32" spans="2:17" ht="18.600000000000001" thickBot="1" x14ac:dyDescent="0.35">
      <c r="B32" s="96"/>
      <c r="C32" s="131"/>
      <c r="D32" s="97"/>
      <c r="E32" s="264" t="s">
        <v>54</v>
      </c>
      <c r="F32" s="264"/>
      <c r="G32" s="265"/>
      <c r="H32" s="112">
        <f>SUM(H27:H31)</f>
        <v>0</v>
      </c>
      <c r="I32" s="75"/>
      <c r="J32" s="245" t="s">
        <v>200</v>
      </c>
      <c r="K32" s="246"/>
      <c r="L32" s="246"/>
      <c r="M32" s="182" t="s">
        <v>185</v>
      </c>
      <c r="N32" s="195">
        <f>C10*2</f>
        <v>2</v>
      </c>
      <c r="O32" s="27"/>
    </row>
    <row r="33" spans="2:17" ht="18" x14ac:dyDescent="0.3">
      <c r="B33" s="96"/>
      <c r="C33" s="280" t="str">
        <f>IF((SUM(I27:I31)/C23)&lt;&gt;1,Q42,Q43)</f>
        <v>Верно внесены высоты вставок</v>
      </c>
      <c r="D33" s="280"/>
      <c r="E33" s="93">
        <f>IF(C33=Q43,1,0)</f>
        <v>1</v>
      </c>
      <c r="F33" s="93"/>
      <c r="G33" s="93"/>
      <c r="H33" s="98"/>
      <c r="I33" s="75"/>
      <c r="J33" s="245" t="s">
        <v>56</v>
      </c>
      <c r="K33" s="246"/>
      <c r="L33" s="246"/>
      <c r="M33" s="182" t="s">
        <v>164</v>
      </c>
      <c r="N33" s="194">
        <f>ROUNDUP((IF(C27=Q15,(E27+F27)*2*G27,0)+IF(C28=Q15,(E28+F28)*2*G28,0)+IF(C29=Q15,(E29+F29)*2*G29,0)+IF(C30=Q15,(E30+F30)*2*G30,0)+IF(C31=Q15,(E31+F31)*2*G31,0))/1000,0)</f>
        <v>0</v>
      </c>
      <c r="O33" s="27"/>
    </row>
    <row r="34" spans="2:17" ht="18" x14ac:dyDescent="0.3">
      <c r="B34" s="96"/>
      <c r="C34" s="97"/>
      <c r="D34" s="97"/>
      <c r="E34" s="97"/>
      <c r="F34" s="97"/>
      <c r="G34" s="97"/>
      <c r="H34" s="98"/>
      <c r="I34" s="75"/>
      <c r="J34" s="245" t="s">
        <v>57</v>
      </c>
      <c r="K34" s="246"/>
      <c r="L34" s="246"/>
      <c r="M34" s="182" t="s">
        <v>165</v>
      </c>
      <c r="N34" s="194">
        <f>ROUNDUP((IF(C27=Q16,(E27+F27)*2*G27,0)+IF(C28=Q16,(E28+F28)*2*G28,0)+IF(C29=Q16,(E29+F29)*2*G29,0)+IF(C30=Q16,(E30+F30)*2*G30,0)+IF(C31=Q16,(E31+F31)*2*G31,0))/1000,0)</f>
        <v>0</v>
      </c>
      <c r="O34" s="27"/>
      <c r="Q34" s="67">
        <v>0</v>
      </c>
    </row>
    <row r="35" spans="2:17" ht="18" x14ac:dyDescent="0.3">
      <c r="B35" s="96"/>
      <c r="C35" s="115"/>
      <c r="D35" s="115"/>
      <c r="E35" s="116"/>
      <c r="F35" s="116"/>
      <c r="H35" s="98"/>
      <c r="I35" s="75"/>
      <c r="J35" s="250" t="s">
        <v>42</v>
      </c>
      <c r="K35" s="251"/>
      <c r="L35" s="252"/>
      <c r="M35" s="165" t="s">
        <v>167</v>
      </c>
      <c r="N35" s="201">
        <f>IF(K5&gt;0,M14+M15+M16,0)</f>
        <v>0</v>
      </c>
      <c r="O35" s="27"/>
      <c r="Q35" s="67">
        <v>1</v>
      </c>
    </row>
    <row r="36" spans="2:17" ht="18" x14ac:dyDescent="0.3">
      <c r="B36" s="96"/>
      <c r="C36" s="97"/>
      <c r="D36" s="97"/>
      <c r="E36" s="97"/>
      <c r="F36" s="97"/>
      <c r="H36" s="98"/>
      <c r="I36" s="75"/>
      <c r="J36" s="250" t="s">
        <v>51</v>
      </c>
      <c r="K36" s="251"/>
      <c r="L36" s="252"/>
      <c r="M36" s="182" t="s">
        <v>168</v>
      </c>
      <c r="N36" s="196">
        <f>IF(C12=Q55,ROUNDUP(K6*2/1000,0),0)+IF(AND(C10=Q11,C12=Q55),ROUNDUP(K6*2/1000,0),0)</f>
        <v>0</v>
      </c>
      <c r="O36" s="27"/>
      <c r="Q36" s="67">
        <v>2</v>
      </c>
    </row>
    <row r="37" spans="2:17" ht="18" x14ac:dyDescent="0.3">
      <c r="B37" s="96"/>
      <c r="C37" s="281" t="str">
        <f>IF(AND(SUM(I27:I31)/C23=1,E31=0,C23&lt;&gt;1),Q46,Q47)</f>
        <v xml:space="preserve"> </v>
      </c>
      <c r="D37" s="281"/>
      <c r="E37" s="116"/>
      <c r="F37" s="116"/>
      <c r="H37" s="98"/>
      <c r="I37" s="75"/>
      <c r="J37" s="253" t="s">
        <v>107</v>
      </c>
      <c r="K37" s="254"/>
      <c r="L37" s="255"/>
      <c r="M37" s="182" t="s">
        <v>169</v>
      </c>
      <c r="N37" s="196">
        <f>IF(C12=Q54,ROUNDUP(K6*2/1000,0),0)+IF(AND(C10=Q11,C12=Q54),ROUNDUP(K6*2/1000,0),0)</f>
        <v>-1</v>
      </c>
      <c r="O37" s="27"/>
      <c r="Q37" s="67">
        <v>3</v>
      </c>
    </row>
    <row r="38" spans="2:17" ht="18" x14ac:dyDescent="0.3">
      <c r="B38" s="96"/>
      <c r="C38" s="97"/>
      <c r="D38" s="97"/>
      <c r="E38" s="97"/>
      <c r="F38" s="97"/>
      <c r="H38" s="98"/>
      <c r="I38" s="75"/>
      <c r="J38" s="253" t="s">
        <v>124</v>
      </c>
      <c r="K38" s="254"/>
      <c r="L38" s="255"/>
      <c r="M38" s="161" t="s">
        <v>170</v>
      </c>
      <c r="N38" s="202">
        <f>IF(C12=Q540,4,0)+IF(C12=Q540,4,0)</f>
        <v>0</v>
      </c>
      <c r="O38" s="27"/>
      <c r="Q38" s="67">
        <v>4</v>
      </c>
    </row>
    <row r="39" spans="2:17" ht="18.600000000000001" thickBot="1" x14ac:dyDescent="0.35">
      <c r="B39" s="96"/>
      <c r="C39" s="97"/>
      <c r="D39" s="97"/>
      <c r="E39" s="97"/>
      <c r="F39" s="97"/>
      <c r="H39" s="98"/>
      <c r="I39" s="75"/>
      <c r="J39" s="286" t="s">
        <v>50</v>
      </c>
      <c r="K39" s="287"/>
      <c r="L39" s="288"/>
      <c r="M39" s="56" t="s">
        <v>204</v>
      </c>
      <c r="N39" s="204">
        <f>C10</f>
        <v>1</v>
      </c>
      <c r="O39" s="27"/>
    </row>
    <row r="40" spans="2:17" ht="18" x14ac:dyDescent="0.35">
      <c r="B40" s="117"/>
      <c r="C40" s="118"/>
      <c r="D40" s="93"/>
      <c r="E40" s="93"/>
      <c r="F40" s="93"/>
      <c r="G40" s="93"/>
      <c r="H40" s="98"/>
      <c r="I40" s="75"/>
      <c r="J40" s="26"/>
      <c r="K40" s="19"/>
      <c r="L40" s="285"/>
      <c r="M40" s="285"/>
      <c r="N40" s="285"/>
      <c r="O40" s="27"/>
    </row>
    <row r="41" spans="2:17" x14ac:dyDescent="0.3">
      <c r="B41" s="26"/>
      <c r="C41" s="19"/>
      <c r="D41" s="19"/>
      <c r="E41" s="19"/>
      <c r="F41" s="19"/>
      <c r="G41" s="19"/>
      <c r="H41" s="27"/>
      <c r="I41" s="75"/>
      <c r="J41" s="26"/>
      <c r="K41" s="19"/>
      <c r="L41" s="19"/>
      <c r="M41" s="19"/>
      <c r="N41" s="19"/>
      <c r="O41" s="27"/>
    </row>
    <row r="42" spans="2:17" ht="18" x14ac:dyDescent="0.35">
      <c r="B42" s="117"/>
      <c r="C42" s="118"/>
      <c r="D42" s="93"/>
      <c r="E42" s="93"/>
      <c r="F42" s="93"/>
      <c r="G42" s="93"/>
      <c r="H42" s="94"/>
      <c r="I42" s="75"/>
      <c r="J42" s="26"/>
      <c r="K42" s="19"/>
      <c r="L42" s="19"/>
      <c r="M42" s="19"/>
      <c r="N42" s="19"/>
      <c r="O42" s="27"/>
      <c r="Q42" s="110" t="s">
        <v>94</v>
      </c>
    </row>
    <row r="43" spans="2:17" ht="18" x14ac:dyDescent="0.35">
      <c r="B43" s="117"/>
      <c r="C43" s="118"/>
      <c r="D43" s="93"/>
      <c r="E43" s="93"/>
      <c r="F43" s="93"/>
      <c r="G43" s="93"/>
      <c r="H43" s="94"/>
      <c r="I43" s="75"/>
      <c r="J43" s="26"/>
      <c r="K43" s="19"/>
      <c r="L43" s="19"/>
      <c r="M43" s="19"/>
      <c r="N43" s="19"/>
      <c r="O43" s="27"/>
      <c r="Q43" s="110" t="s">
        <v>95</v>
      </c>
    </row>
    <row r="44" spans="2:17" ht="18" x14ac:dyDescent="0.35">
      <c r="B44" s="117"/>
      <c r="C44" s="118"/>
      <c r="D44" s="93"/>
      <c r="E44" s="93"/>
      <c r="F44" s="93"/>
      <c r="G44" s="93"/>
      <c r="H44" s="94"/>
      <c r="I44" s="75"/>
      <c r="J44" s="26"/>
      <c r="K44" s="19"/>
      <c r="L44" s="19"/>
      <c r="M44" s="19"/>
      <c r="N44" s="19"/>
      <c r="O44" s="27"/>
      <c r="Q44" s="75"/>
    </row>
    <row r="45" spans="2:17" ht="18.600000000000001" thickBot="1" x14ac:dyDescent="0.4">
      <c r="B45" s="122"/>
      <c r="C45" s="123"/>
      <c r="D45" s="124"/>
      <c r="E45" s="124"/>
      <c r="F45" s="124"/>
      <c r="G45" s="124"/>
      <c r="H45" s="125"/>
      <c r="I45" s="75"/>
      <c r="J45" s="32"/>
      <c r="K45" s="31"/>
      <c r="L45" s="289"/>
      <c r="M45" s="289"/>
      <c r="N45" s="289"/>
      <c r="O45" s="290"/>
      <c r="Q45" s="75"/>
    </row>
    <row r="46" spans="2:17" ht="18" x14ac:dyDescent="0.35">
      <c r="J46" s="19"/>
      <c r="K46" s="19"/>
      <c r="L46" s="19"/>
      <c r="M46" s="19"/>
      <c r="N46" s="19"/>
      <c r="O46" s="19"/>
      <c r="Q46" s="121" t="s">
        <v>104</v>
      </c>
    </row>
    <row r="47" spans="2:17" x14ac:dyDescent="0.3">
      <c r="J47" s="19"/>
      <c r="K47" s="19"/>
      <c r="L47" s="19"/>
      <c r="M47" s="19"/>
      <c r="N47" s="19"/>
      <c r="O47" s="19"/>
      <c r="Q47" s="12" t="s">
        <v>68</v>
      </c>
    </row>
    <row r="48" spans="2:17" x14ac:dyDescent="0.3">
      <c r="J48" s="19"/>
      <c r="K48" s="19"/>
      <c r="L48" s="19"/>
      <c r="M48" s="19"/>
      <c r="N48" s="19"/>
      <c r="O48" s="19"/>
    </row>
    <row r="49" spans="10:17" x14ac:dyDescent="0.3">
      <c r="J49" s="19"/>
      <c r="K49" s="19"/>
      <c r="L49" s="19"/>
      <c r="M49" s="19"/>
      <c r="N49" s="19"/>
      <c r="O49" s="19"/>
    </row>
    <row r="50" spans="10:17" x14ac:dyDescent="0.3">
      <c r="J50" s="18"/>
      <c r="K50" s="132"/>
      <c r="L50" s="48"/>
      <c r="M50" s="48"/>
      <c r="N50" s="133"/>
      <c r="O50" s="108"/>
    </row>
    <row r="51" spans="10:17" x14ac:dyDescent="0.3">
      <c r="J51" s="18"/>
      <c r="K51" s="132"/>
      <c r="L51" s="48"/>
      <c r="M51" s="48"/>
      <c r="N51" s="133"/>
      <c r="O51" s="108"/>
    </row>
    <row r="52" spans="10:17" x14ac:dyDescent="0.3">
      <c r="J52" s="18"/>
      <c r="K52" s="132"/>
      <c r="L52" s="48"/>
      <c r="M52" s="48"/>
      <c r="N52" s="133"/>
      <c r="O52" s="108"/>
      <c r="P52" s="12" t="s">
        <v>205</v>
      </c>
      <c r="Q52" s="12" t="s">
        <v>55</v>
      </c>
    </row>
    <row r="53" spans="10:17" x14ac:dyDescent="0.3">
      <c r="J53" s="18"/>
      <c r="K53" s="132"/>
      <c r="L53" s="48"/>
      <c r="M53" s="48"/>
      <c r="N53" s="133"/>
      <c r="O53" s="108"/>
      <c r="P53" s="12" t="s">
        <v>111</v>
      </c>
      <c r="Q53" s="114" t="s">
        <v>120</v>
      </c>
    </row>
    <row r="54" spans="10:17" x14ac:dyDescent="0.3">
      <c r="J54" s="18"/>
      <c r="K54" s="132"/>
      <c r="L54" s="48"/>
      <c r="M54" s="48"/>
      <c r="N54" s="133"/>
      <c r="O54" s="108"/>
      <c r="P54" s="12" t="s">
        <v>206</v>
      </c>
      <c r="Q54" s="114" t="s">
        <v>107</v>
      </c>
    </row>
    <row r="55" spans="10:17" x14ac:dyDescent="0.3">
      <c r="J55" s="18"/>
      <c r="K55" s="132"/>
      <c r="L55" s="48"/>
      <c r="M55" s="48"/>
      <c r="N55" s="133"/>
      <c r="O55" s="108"/>
      <c r="P55" s="12" t="s">
        <v>112</v>
      </c>
      <c r="Q55" s="12" t="s">
        <v>51</v>
      </c>
    </row>
    <row r="56" spans="10:17" x14ac:dyDescent="0.3">
      <c r="J56" s="18"/>
      <c r="K56" s="132"/>
      <c r="L56" s="48"/>
      <c r="M56" s="48"/>
      <c r="N56" s="133"/>
      <c r="O56" s="108"/>
      <c r="P56" s="12" t="s">
        <v>34</v>
      </c>
    </row>
    <row r="57" spans="10:17" x14ac:dyDescent="0.3">
      <c r="J57" s="18"/>
      <c r="K57" s="132"/>
      <c r="L57" s="48"/>
      <c r="M57" s="48"/>
      <c r="N57" s="133"/>
      <c r="O57" s="108"/>
      <c r="P57" s="12" t="s">
        <v>35</v>
      </c>
    </row>
    <row r="58" spans="10:17" x14ac:dyDescent="0.3">
      <c r="J58" s="18"/>
      <c r="K58" s="132"/>
      <c r="L58" s="48"/>
      <c r="M58" s="48"/>
      <c r="N58" s="133"/>
      <c r="O58" s="108"/>
      <c r="P58" s="12" t="s">
        <v>207</v>
      </c>
      <c r="Q58" s="12" t="s">
        <v>148</v>
      </c>
    </row>
    <row r="59" spans="10:17" x14ac:dyDescent="0.3">
      <c r="J59" s="18"/>
      <c r="K59" s="132"/>
      <c r="L59" s="48"/>
      <c r="M59" s="48"/>
      <c r="N59" s="133"/>
      <c r="O59" s="108"/>
      <c r="P59" s="12" t="s">
        <v>208</v>
      </c>
      <c r="Q59" s="12" t="s">
        <v>145</v>
      </c>
    </row>
    <row r="60" spans="10:17" x14ac:dyDescent="0.3">
      <c r="J60" s="18"/>
      <c r="K60" s="132"/>
      <c r="L60" s="48"/>
      <c r="M60" s="48"/>
      <c r="N60" s="133"/>
      <c r="O60" s="108"/>
      <c r="P60" s="64"/>
    </row>
    <row r="61" spans="10:17" x14ac:dyDescent="0.3">
      <c r="J61" s="284"/>
      <c r="K61" s="284"/>
      <c r="L61" s="284"/>
      <c r="M61" s="284"/>
      <c r="N61" s="284"/>
      <c r="O61" s="134"/>
    </row>
    <row r="62" spans="10:17" ht="15.75" customHeight="1" x14ac:dyDescent="0.3">
      <c r="J62" s="18"/>
      <c r="K62" s="18"/>
      <c r="L62" s="18"/>
      <c r="M62" s="18"/>
      <c r="N62" s="18"/>
      <c r="O62" s="18"/>
    </row>
    <row r="63" spans="10:17" ht="15.75" customHeight="1" x14ac:dyDescent="0.3">
      <c r="J63" s="19"/>
      <c r="K63" s="19"/>
      <c r="L63" s="19"/>
      <c r="M63" s="19"/>
      <c r="N63" s="19"/>
      <c r="O63" s="19"/>
      <c r="Q63" s="12" t="s">
        <v>149</v>
      </c>
    </row>
    <row r="64" spans="10:17" ht="15.75" customHeight="1" x14ac:dyDescent="0.3">
      <c r="J64" s="19"/>
      <c r="K64" s="19"/>
      <c r="L64" s="19"/>
      <c r="M64" s="19"/>
      <c r="N64" s="19"/>
      <c r="O64" s="19"/>
      <c r="Q64" s="12" t="s">
        <v>145</v>
      </c>
    </row>
    <row r="65" spans="10:18" ht="15.75" customHeight="1" x14ac:dyDescent="0.3">
      <c r="J65" s="19"/>
      <c r="K65" s="19"/>
      <c r="L65" s="19"/>
      <c r="M65" s="19"/>
      <c r="N65" s="19"/>
      <c r="O65" s="19"/>
    </row>
    <row r="66" spans="10:18" x14ac:dyDescent="0.3">
      <c r="J66" s="19"/>
      <c r="K66" s="19"/>
      <c r="L66" s="19"/>
      <c r="M66" s="19"/>
      <c r="N66" s="19"/>
      <c r="O66" s="19"/>
    </row>
    <row r="67" spans="10:18" x14ac:dyDescent="0.3">
      <c r="J67" s="19"/>
      <c r="K67" s="19"/>
      <c r="L67" s="19"/>
      <c r="M67" s="19"/>
      <c r="N67" s="19"/>
      <c r="O67" s="19"/>
    </row>
    <row r="68" spans="10:18" x14ac:dyDescent="0.3">
      <c r="J68" s="19"/>
      <c r="K68" s="19"/>
      <c r="L68" s="19"/>
      <c r="M68" s="19"/>
      <c r="N68" s="19"/>
      <c r="O68" s="19"/>
    </row>
    <row r="69" spans="10:18" x14ac:dyDescent="0.3">
      <c r="J69" s="19"/>
      <c r="K69" s="19"/>
      <c r="L69" s="19"/>
      <c r="M69" s="19"/>
      <c r="N69" s="19"/>
      <c r="O69" s="19"/>
    </row>
    <row r="70" spans="10:18" x14ac:dyDescent="0.3">
      <c r="J70" s="19"/>
      <c r="K70" s="19"/>
      <c r="L70" s="19"/>
      <c r="M70" s="19"/>
      <c r="N70" s="19"/>
      <c r="O70" s="19"/>
      <c r="P70" s="19"/>
      <c r="Q70" s="19"/>
      <c r="R70" s="19"/>
    </row>
    <row r="71" spans="10:18" x14ac:dyDescent="0.3">
      <c r="P71" s="19"/>
      <c r="Q71" s="19"/>
      <c r="R71" s="19"/>
    </row>
    <row r="72" spans="10:18" x14ac:dyDescent="0.3">
      <c r="P72" s="19"/>
      <c r="Q72" s="19"/>
      <c r="R72" s="19"/>
    </row>
    <row r="73" spans="10:18" x14ac:dyDescent="0.3">
      <c r="P73" s="19"/>
      <c r="Q73" s="19"/>
      <c r="R73" s="19"/>
    </row>
  </sheetData>
  <sheetProtection algorithmName="SHA-512" hashValue="pwqWcTvvk9YZLMi0kSm4zRoPYrhazy51Xf8gly+Fhge3fT7RNGneTqtT5Wet4HlFjdE+N+g6+yQjAOav0XlYoA==" saltValue="0UUUt0jVYj6wfim/YURt8Q==" spinCount="100000" sheet="1" selectLockedCells="1"/>
  <mergeCells count="43">
    <mergeCell ref="J18:O18"/>
    <mergeCell ref="D9:H9"/>
    <mergeCell ref="B17:H19"/>
    <mergeCell ref="D10:H10"/>
    <mergeCell ref="D11:H11"/>
    <mergeCell ref="D13:H13"/>
    <mergeCell ref="B2:H2"/>
    <mergeCell ref="B3:C3"/>
    <mergeCell ref="J3:K3"/>
    <mergeCell ref="J2:O2"/>
    <mergeCell ref="D12:H12"/>
    <mergeCell ref="D4:H4"/>
    <mergeCell ref="D5:H5"/>
    <mergeCell ref="D6:H6"/>
    <mergeCell ref="D7:H7"/>
    <mergeCell ref="J8:M8"/>
    <mergeCell ref="D8:H8"/>
    <mergeCell ref="J33:L33"/>
    <mergeCell ref="J61:N61"/>
    <mergeCell ref="L40:N40"/>
    <mergeCell ref="J21:L21"/>
    <mergeCell ref="J34:L34"/>
    <mergeCell ref="J36:L36"/>
    <mergeCell ref="J37:L37"/>
    <mergeCell ref="J38:L38"/>
    <mergeCell ref="J39:L39"/>
    <mergeCell ref="L45:O45"/>
    <mergeCell ref="B1:O1"/>
    <mergeCell ref="E32:G32"/>
    <mergeCell ref="C33:D33"/>
    <mergeCell ref="C37:D37"/>
    <mergeCell ref="J22:L22"/>
    <mergeCell ref="J23:L23"/>
    <mergeCell ref="J24:L24"/>
    <mergeCell ref="J25:L25"/>
    <mergeCell ref="J26:L26"/>
    <mergeCell ref="J27:L27"/>
    <mergeCell ref="J28:L28"/>
    <mergeCell ref="J29:L29"/>
    <mergeCell ref="J30:L30"/>
    <mergeCell ref="J31:L31"/>
    <mergeCell ref="J32:L32"/>
    <mergeCell ref="J35:L35"/>
  </mergeCells>
  <conditionalFormatting sqref="K5:K6 L10:O17 N23:N32 N35 N38:N39">
    <cfRule type="expression" dxfId="83" priority="2">
      <formula>$C$5=0</formula>
    </cfRule>
  </conditionalFormatting>
  <conditionalFormatting sqref="D5:H13">
    <cfRule type="expression" dxfId="82" priority="3">
      <formula>$C5=0</formula>
    </cfRule>
  </conditionalFormatting>
  <conditionalFormatting sqref="C8">
    <cfRule type="cellIs" dxfId="81" priority="58" operator="greaterThan">
      <formula>0</formula>
    </cfRule>
  </conditionalFormatting>
  <conditionalFormatting sqref="O10">
    <cfRule type="expression" dxfId="80" priority="57">
      <formula>$C$5=0</formula>
    </cfRule>
  </conditionalFormatting>
  <conditionalFormatting sqref="O14:O16">
    <cfRule type="expression" dxfId="79" priority="56">
      <formula>$C$5=0</formula>
    </cfRule>
  </conditionalFormatting>
  <conditionalFormatting sqref="O17">
    <cfRule type="expression" dxfId="78" priority="55">
      <formula>$C$5=0</formula>
    </cfRule>
  </conditionalFormatting>
  <conditionalFormatting sqref="O11">
    <cfRule type="expression" dxfId="77" priority="51">
      <formula>$C$5=0</formula>
    </cfRule>
  </conditionalFormatting>
  <conditionalFormatting sqref="O12">
    <cfRule type="expression" dxfId="76" priority="50">
      <formula>$C$5=0</formula>
    </cfRule>
  </conditionalFormatting>
  <conditionalFormatting sqref="O13">
    <cfRule type="expression" dxfId="75" priority="49">
      <formula>$C$5=0</formula>
    </cfRule>
  </conditionalFormatting>
  <conditionalFormatting sqref="C12">
    <cfRule type="cellIs" dxfId="74" priority="29" operator="greaterThan">
      <formula>0</formula>
    </cfRule>
  </conditionalFormatting>
  <conditionalFormatting sqref="D12:H12">
    <cfRule type="expression" dxfId="73" priority="28">
      <formula>$C$6=0</formula>
    </cfRule>
  </conditionalFormatting>
  <conditionalFormatting sqref="C13">
    <cfRule type="cellIs" dxfId="72" priority="25" operator="greaterThan">
      <formula>0</formula>
    </cfRule>
  </conditionalFormatting>
  <conditionalFormatting sqref="D13:H13">
    <cfRule type="expression" dxfId="71" priority="24">
      <formula>$C$5=0</formula>
    </cfRule>
  </conditionalFormatting>
  <conditionalFormatting sqref="N33">
    <cfRule type="expression" dxfId="70" priority="18">
      <formula>$C$5=0</formula>
    </cfRule>
  </conditionalFormatting>
  <conditionalFormatting sqref="N36">
    <cfRule type="expression" dxfId="69" priority="14">
      <formula>$C$5=0</formula>
    </cfRule>
  </conditionalFormatting>
  <conditionalFormatting sqref="N34">
    <cfRule type="expression" dxfId="68" priority="16">
      <formula>$C$5=0</formula>
    </cfRule>
  </conditionalFormatting>
  <conditionalFormatting sqref="N37">
    <cfRule type="expression" dxfId="67" priority="15">
      <formula>$C$5=0</formula>
    </cfRule>
  </conditionalFormatting>
  <conditionalFormatting sqref="K5">
    <cfRule type="expression" dxfId="66" priority="9">
      <formula>AND(OR($K$5&lt;300,$K$5&gt;600),$C$5&gt;0)</formula>
    </cfRule>
  </conditionalFormatting>
  <conditionalFormatting sqref="D10:H11">
    <cfRule type="expression" dxfId="65" priority="8">
      <formula>$C$5=0</formula>
    </cfRule>
  </conditionalFormatting>
  <conditionalFormatting sqref="E27 H32 F27:H31">
    <cfRule type="expression" dxfId="64" priority="7">
      <formula>$C$5=0</formula>
    </cfRule>
  </conditionalFormatting>
  <conditionalFormatting sqref="N38">
    <cfRule type="expression" dxfId="63" priority="5">
      <formula>$C$4=0</formula>
    </cfRule>
  </conditionalFormatting>
  <conditionalFormatting sqref="K6">
    <cfRule type="expression" dxfId="62" priority="75">
      <formula>$K$6&gt;3200</formula>
    </cfRule>
  </conditionalFormatting>
  <conditionalFormatting sqref="D5">
    <cfRule type="expression" dxfId="61" priority="213">
      <formula>$D$5=$Q$63</formula>
    </cfRule>
  </conditionalFormatting>
  <conditionalFormatting sqref="C37">
    <cfRule type="expression" dxfId="60" priority="214">
      <formula>$C$37=$Q$46</formula>
    </cfRule>
  </conditionalFormatting>
  <conditionalFormatting sqref="C33">
    <cfRule type="expression" dxfId="59" priority="215">
      <formula>$C$33=$Q$43</formula>
    </cfRule>
  </conditionalFormatting>
  <conditionalFormatting sqref="C33:D33">
    <cfRule type="expression" dxfId="58" priority="216">
      <formula>$C$33=$Q$42</formula>
    </cfRule>
  </conditionalFormatting>
  <conditionalFormatting sqref="D6:H6">
    <cfRule type="expression" dxfId="57" priority="217">
      <formula>$D$6=$Q$58</formula>
    </cfRule>
  </conditionalFormatting>
  <conditionalFormatting sqref="C9">
    <cfRule type="expression" dxfId="56" priority="218">
      <formula>AND($C$9=$Q$6,$C$8=$P$53)</formula>
    </cfRule>
  </conditionalFormatting>
  <dataValidations count="8">
    <dataValidation type="list" allowBlank="1" showInputMessage="1" showErrorMessage="1" sqref="C11">
      <formula1>$Q$19:$Q$20</formula1>
    </dataValidation>
    <dataValidation type="list" allowBlank="1" showInputMessage="1" showErrorMessage="1" sqref="C9">
      <formula1>$Q$6:$Q$7</formula1>
    </dataValidation>
    <dataValidation type="list" allowBlank="1" showInputMessage="1" showErrorMessage="1" sqref="C10">
      <formula1>$Q$10:$Q$11</formula1>
    </dataValidation>
    <dataValidation type="list" allowBlank="1" showInputMessage="1" showErrorMessage="1" sqref="C7">
      <formula1>$Q$34:$Q$38</formula1>
    </dataValidation>
    <dataValidation type="list" allowBlank="1" showInputMessage="1" showErrorMessage="1" sqref="C27:C31">
      <formula1>$Q$14:$Q$16</formula1>
    </dataValidation>
    <dataValidation type="list" allowBlank="1" showInputMessage="1" showErrorMessage="1" sqref="C12">
      <formula1>$Q$54:$Q$55</formula1>
    </dataValidation>
    <dataValidation type="whole" allowBlank="1" showInputMessage="1" showErrorMessage="1" sqref="C13">
      <formula1>150</formula1>
      <formula2>K6</formula2>
    </dataValidation>
    <dataValidation type="list" allowBlank="1" showInputMessage="1" showErrorMessage="1" sqref="C8">
      <formula1>$P$52:$P$59</formula1>
    </dataValidation>
  </dataValidation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38" orientation="landscape" verticalDpi="1200" r:id="rId1"/>
  <ignoredErrors>
    <ignoredError sqref="O12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1" id="{3DD69E6D-ABFC-429B-A7F7-C20BA496C769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E33:G33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1"/>
    <pageSetUpPr fitToPage="1"/>
  </sheetPr>
  <dimension ref="B1:T67"/>
  <sheetViews>
    <sheetView zoomScale="70" zoomScaleNormal="70" zoomScalePageLayoutView="110" workbookViewId="0">
      <selection activeCell="C5" sqref="C5"/>
    </sheetView>
  </sheetViews>
  <sheetFormatPr defaultColWidth="8.88671875" defaultRowHeight="14.4" x14ac:dyDescent="0.3"/>
  <cols>
    <col min="1" max="1" width="0.88671875" style="75" customWidth="1"/>
    <col min="2" max="2" width="43.109375" style="75" customWidth="1"/>
    <col min="3" max="3" width="29.6640625" style="75" customWidth="1"/>
    <col min="4" max="8" width="14.6640625" style="75" customWidth="1"/>
    <col min="9" max="9" width="2" style="75" customWidth="1"/>
    <col min="10" max="10" width="25.33203125" style="75" customWidth="1"/>
    <col min="11" max="11" width="15.109375" style="75" customWidth="1"/>
    <col min="12" max="12" width="12.5546875" style="75" customWidth="1"/>
    <col min="13" max="13" width="15.77734375" style="75" customWidth="1"/>
    <col min="14" max="14" width="14" style="75" customWidth="1"/>
    <col min="15" max="15" width="16.6640625" style="75" customWidth="1"/>
    <col min="16" max="16" width="1.109375" style="75" customWidth="1"/>
    <col min="17" max="17" width="23.44140625" style="75" hidden="1" customWidth="1"/>
    <col min="18" max="18" width="19.44140625" style="75" hidden="1" customWidth="1"/>
    <col min="19" max="20" width="8.88671875" style="75" hidden="1" customWidth="1"/>
    <col min="21" max="21" width="8.88671875" style="75" customWidth="1"/>
    <col min="22" max="16384" width="8.88671875" style="75"/>
  </cols>
  <sheetData>
    <row r="1" spans="2:18" ht="18.600000000000001" thickBot="1" x14ac:dyDescent="0.35">
      <c r="B1" s="303" t="s">
        <v>75</v>
      </c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5"/>
      <c r="P1" s="135"/>
    </row>
    <row r="2" spans="2:18" s="13" customFormat="1" x14ac:dyDescent="0.3">
      <c r="B2" s="216" t="s">
        <v>79</v>
      </c>
      <c r="C2" s="217"/>
      <c r="D2" s="217"/>
      <c r="E2" s="217"/>
      <c r="F2" s="217"/>
      <c r="G2" s="217"/>
      <c r="H2" s="218"/>
      <c r="J2" s="211" t="s">
        <v>80</v>
      </c>
      <c r="K2" s="212"/>
      <c r="L2" s="212"/>
      <c r="M2" s="212"/>
      <c r="N2" s="212"/>
      <c r="O2" s="213"/>
      <c r="P2" s="66"/>
    </row>
    <row r="3" spans="2:18" s="136" customFormat="1" ht="15.6" x14ac:dyDescent="0.3">
      <c r="B3" s="219" t="s">
        <v>17</v>
      </c>
      <c r="C3" s="220"/>
      <c r="D3" s="14"/>
      <c r="E3" s="14"/>
      <c r="F3" s="14"/>
      <c r="G3" s="14"/>
      <c r="H3" s="15"/>
      <c r="J3" s="219" t="s">
        <v>74</v>
      </c>
      <c r="K3" s="220"/>
      <c r="L3" s="14"/>
      <c r="M3" s="14"/>
      <c r="N3" s="14"/>
      <c r="O3" s="15"/>
      <c r="P3" s="14"/>
    </row>
    <row r="4" spans="2:18" ht="15.6" x14ac:dyDescent="0.3">
      <c r="B4" s="49" t="s">
        <v>6</v>
      </c>
      <c r="C4" s="53" t="s">
        <v>18</v>
      </c>
      <c r="D4" s="221" t="s">
        <v>21</v>
      </c>
      <c r="E4" s="222"/>
      <c r="F4" s="222"/>
      <c r="G4" s="222"/>
      <c r="H4" s="223"/>
      <c r="J4" s="49" t="s">
        <v>0</v>
      </c>
      <c r="K4" s="179" t="s">
        <v>18</v>
      </c>
      <c r="L4" s="18"/>
      <c r="M4" s="18"/>
      <c r="N4" s="18"/>
      <c r="O4" s="25"/>
      <c r="P4" s="18"/>
      <c r="R4" s="137"/>
    </row>
    <row r="5" spans="2:18" ht="20.100000000000001" customHeight="1" x14ac:dyDescent="0.3">
      <c r="B5" s="43" t="s">
        <v>96</v>
      </c>
      <c r="C5" s="23">
        <v>0</v>
      </c>
      <c r="D5" s="306" t="str">
        <f>IF(AND(C9=R66,OR(K5&lt;200,K5&gt;700)),R58,IF(AND(C9=R67,OR(K5&lt;200,K5&gt;900)),R60,R59))</f>
        <v>не рекомендуем, ширина двери должна быть от 200 мм до 900 мм</v>
      </c>
      <c r="E5" s="307"/>
      <c r="F5" s="307"/>
      <c r="G5" s="307"/>
      <c r="H5" s="308"/>
      <c r="J5" s="138" t="s">
        <v>23</v>
      </c>
      <c r="K5" s="139">
        <f>IF(C9=R67,(C5-10*C10)/C10,ROUNDDOWN(IF(OR(C12=R39,C12=R40),(C5-4*C10)/C10,IF(OR(C12=R41,C12=R42),(C5-10*C10)/C10)),0))</f>
        <v>-10</v>
      </c>
      <c r="L5" s="18"/>
      <c r="M5" s="140"/>
      <c r="N5" s="140"/>
      <c r="O5" s="198"/>
      <c r="P5" s="18"/>
      <c r="R5" s="137">
        <v>1</v>
      </c>
    </row>
    <row r="6" spans="2:18" ht="20.100000000000001" customHeight="1" x14ac:dyDescent="0.3">
      <c r="B6" s="43" t="s">
        <v>97</v>
      </c>
      <c r="C6" s="23">
        <v>0</v>
      </c>
      <c r="D6" s="306" t="str">
        <f>IF(K6&gt;3200,R62,R63)</f>
        <v>допустимо</v>
      </c>
      <c r="E6" s="307"/>
      <c r="F6" s="307"/>
      <c r="G6" s="307"/>
      <c r="H6" s="308"/>
      <c r="J6" s="138" t="s">
        <v>22</v>
      </c>
      <c r="K6" s="139">
        <f>C6-20</f>
        <v>-20</v>
      </c>
      <c r="L6" s="18"/>
      <c r="M6" s="18"/>
      <c r="N6" s="48"/>
      <c r="O6" s="25"/>
      <c r="P6" s="18"/>
      <c r="R6" s="137">
        <v>2</v>
      </c>
    </row>
    <row r="7" spans="2:18" ht="20.100000000000001" customHeight="1" x14ac:dyDescent="0.3">
      <c r="B7" s="43" t="s">
        <v>98</v>
      </c>
      <c r="C7" s="24">
        <v>0</v>
      </c>
      <c r="D7" s="295" t="s">
        <v>16</v>
      </c>
      <c r="E7" s="295"/>
      <c r="F7" s="295"/>
      <c r="G7" s="295"/>
      <c r="H7" s="297"/>
      <c r="J7" s="141"/>
      <c r="K7" s="18"/>
      <c r="L7" s="18"/>
      <c r="M7" s="18"/>
      <c r="N7" s="18"/>
      <c r="O7" s="25"/>
      <c r="P7" s="18"/>
    </row>
    <row r="8" spans="2:18" ht="20.100000000000001" customHeight="1" x14ac:dyDescent="0.3">
      <c r="B8" s="43" t="s">
        <v>99</v>
      </c>
      <c r="C8" s="24" t="s">
        <v>205</v>
      </c>
      <c r="D8" s="295"/>
      <c r="E8" s="295"/>
      <c r="F8" s="295"/>
      <c r="G8" s="295"/>
      <c r="H8" s="297"/>
      <c r="J8" s="219" t="s">
        <v>152</v>
      </c>
      <c r="K8" s="220"/>
      <c r="L8" s="220"/>
      <c r="M8" s="220"/>
      <c r="N8" s="178"/>
      <c r="O8" s="68"/>
      <c r="P8" s="14"/>
    </row>
    <row r="9" spans="2:18" ht="35.1" customHeight="1" x14ac:dyDescent="0.3">
      <c r="B9" s="43" t="s">
        <v>212</v>
      </c>
      <c r="C9" s="24" t="s">
        <v>211</v>
      </c>
      <c r="D9" s="295" t="s">
        <v>213</v>
      </c>
      <c r="E9" s="295"/>
      <c r="F9" s="295"/>
      <c r="G9" s="295"/>
      <c r="H9" s="297"/>
      <c r="J9" s="49" t="s">
        <v>0</v>
      </c>
      <c r="K9" s="179" t="s">
        <v>1</v>
      </c>
      <c r="L9" s="179" t="s">
        <v>10</v>
      </c>
      <c r="M9" s="179" t="s">
        <v>12</v>
      </c>
      <c r="N9" s="72" t="s">
        <v>78</v>
      </c>
      <c r="O9" s="180" t="s">
        <v>33</v>
      </c>
      <c r="P9" s="18"/>
      <c r="R9" s="95" t="s">
        <v>13</v>
      </c>
    </row>
    <row r="10" spans="2:18" ht="35.1" customHeight="1" x14ac:dyDescent="0.3">
      <c r="B10" s="71" t="s">
        <v>101</v>
      </c>
      <c r="C10" s="28">
        <v>2</v>
      </c>
      <c r="D10" s="295" t="s">
        <v>30</v>
      </c>
      <c r="E10" s="295"/>
      <c r="F10" s="295"/>
      <c r="G10" s="295"/>
      <c r="H10" s="297"/>
      <c r="J10" s="187" t="s">
        <v>2</v>
      </c>
      <c r="K10" s="186" t="s">
        <v>155</v>
      </c>
      <c r="L10" s="163">
        <f>K6</f>
        <v>-20</v>
      </c>
      <c r="M10" s="164">
        <f>IF(AND(C6&gt;0,C10=R5),2,IF(AND(C6&gt;0,C10=R6),4,0))</f>
        <v>0</v>
      </c>
      <c r="N10" s="164"/>
      <c r="O10" s="192">
        <f>IF(L10&gt;2650,M10,M10/2)</f>
        <v>0</v>
      </c>
      <c r="P10" s="18"/>
      <c r="R10" s="95" t="s">
        <v>14</v>
      </c>
    </row>
    <row r="11" spans="2:18" ht="35.1" customHeight="1" x14ac:dyDescent="0.3">
      <c r="B11" s="71" t="s">
        <v>132</v>
      </c>
      <c r="C11" s="40" t="s">
        <v>134</v>
      </c>
      <c r="D11" s="295" t="s">
        <v>135</v>
      </c>
      <c r="E11" s="295"/>
      <c r="F11" s="295"/>
      <c r="G11" s="295"/>
      <c r="H11" s="297"/>
      <c r="J11" s="187" t="s">
        <v>3</v>
      </c>
      <c r="K11" s="186" t="s">
        <v>156</v>
      </c>
      <c r="L11" s="163">
        <f>K5-78</f>
        <v>-88</v>
      </c>
      <c r="M11" s="164">
        <f>IF(C5=0,0,IF(C9=R66,C10,C10*2))</f>
        <v>0</v>
      </c>
      <c r="N11" s="188">
        <f t="shared" ref="N11:N14" si="0">L11*M11</f>
        <v>0</v>
      </c>
      <c r="O11" s="192">
        <f>CEILING((L11*M11)/5000,1)</f>
        <v>0</v>
      </c>
      <c r="P11" s="18"/>
      <c r="R11" s="95" t="s">
        <v>15</v>
      </c>
    </row>
    <row r="12" spans="2:18" ht="35.1" customHeight="1" x14ac:dyDescent="0.3">
      <c r="B12" s="79" t="s">
        <v>119</v>
      </c>
      <c r="C12" s="30" t="s">
        <v>107</v>
      </c>
      <c r="D12" s="277" t="s">
        <v>215</v>
      </c>
      <c r="E12" s="236"/>
      <c r="F12" s="236"/>
      <c r="G12" s="236"/>
      <c r="H12" s="238"/>
      <c r="J12" s="187" t="s">
        <v>4</v>
      </c>
      <c r="K12" s="186" t="s">
        <v>157</v>
      </c>
      <c r="L12" s="163">
        <f>K5-78</f>
        <v>-88</v>
      </c>
      <c r="M12" s="164">
        <f>IF(C5=0,0,IF(C9=R66,C10,0))</f>
        <v>0</v>
      </c>
      <c r="N12" s="188">
        <f t="shared" si="0"/>
        <v>0</v>
      </c>
      <c r="O12" s="192">
        <f>CEILING((L12*M12)/5000,1)</f>
        <v>0</v>
      </c>
      <c r="P12" s="18"/>
      <c r="R12" s="18"/>
    </row>
    <row r="13" spans="2:18" ht="35.1" customHeight="1" x14ac:dyDescent="0.3">
      <c r="B13" s="80" t="s">
        <v>137</v>
      </c>
      <c r="C13" s="41">
        <v>0</v>
      </c>
      <c r="D13" s="236" t="s">
        <v>129</v>
      </c>
      <c r="E13" s="236"/>
      <c r="F13" s="236"/>
      <c r="G13" s="236"/>
      <c r="H13" s="238"/>
      <c r="J13" s="187" t="s">
        <v>5</v>
      </c>
      <c r="K13" s="186" t="s">
        <v>158</v>
      </c>
      <c r="L13" s="163">
        <f>IF(C7&gt;0,K5-78,0)</f>
        <v>0</v>
      </c>
      <c r="M13" s="164">
        <f>C7*C10</f>
        <v>0</v>
      </c>
      <c r="N13" s="188">
        <f t="shared" si="0"/>
        <v>0</v>
      </c>
      <c r="O13" s="192">
        <f>CEILING((L13*M13)/5000,1)</f>
        <v>0</v>
      </c>
      <c r="P13" s="18"/>
      <c r="R13" s="18"/>
    </row>
    <row r="14" spans="2:18" ht="37.200000000000003" customHeight="1" x14ac:dyDescent="0.3">
      <c r="B14" s="142" t="s">
        <v>139</v>
      </c>
      <c r="C14" s="63">
        <v>540</v>
      </c>
      <c r="D14" s="318" t="s">
        <v>140</v>
      </c>
      <c r="E14" s="318"/>
      <c r="F14" s="318"/>
      <c r="G14" s="318"/>
      <c r="H14" s="319"/>
      <c r="J14" s="187" t="s">
        <v>24</v>
      </c>
      <c r="K14" s="186" t="s">
        <v>171</v>
      </c>
      <c r="L14" s="163">
        <f>C14</f>
        <v>540</v>
      </c>
      <c r="M14" s="164">
        <f>C10</f>
        <v>2</v>
      </c>
      <c r="N14" s="188">
        <f t="shared" si="0"/>
        <v>1080</v>
      </c>
      <c r="O14" s="199">
        <f>CEILING((L14*M14)/5400,1)</f>
        <v>1</v>
      </c>
      <c r="P14" s="18"/>
    </row>
    <row r="15" spans="2:18" ht="36.6" thickBot="1" x14ac:dyDescent="0.35">
      <c r="B15" s="143" t="s">
        <v>147</v>
      </c>
      <c r="C15" s="38" t="s">
        <v>73</v>
      </c>
      <c r="D15" s="301"/>
      <c r="E15" s="301"/>
      <c r="F15" s="301"/>
      <c r="G15" s="301"/>
      <c r="H15" s="302"/>
      <c r="J15" s="259"/>
      <c r="K15" s="260"/>
      <c r="L15" s="260"/>
      <c r="M15" s="260"/>
      <c r="N15" s="260"/>
      <c r="O15" s="261"/>
      <c r="P15" s="18"/>
    </row>
    <row r="16" spans="2:18" ht="15.6" x14ac:dyDescent="0.3">
      <c r="J16" s="177"/>
      <c r="K16" s="178"/>
      <c r="L16" s="178"/>
      <c r="M16" s="178"/>
      <c r="N16" s="178"/>
      <c r="O16" s="68"/>
      <c r="P16" s="18"/>
      <c r="R16" s="67">
        <v>0</v>
      </c>
    </row>
    <row r="17" spans="2:18" ht="15.6" x14ac:dyDescent="0.3">
      <c r="B17" s="220" t="s">
        <v>29</v>
      </c>
      <c r="C17" s="220"/>
      <c r="D17" s="220"/>
      <c r="E17" s="220"/>
      <c r="F17" s="220"/>
      <c r="G17" s="220"/>
      <c r="H17" s="220"/>
      <c r="J17" s="144"/>
      <c r="K17" s="21"/>
      <c r="L17" s="21"/>
      <c r="M17" s="18"/>
      <c r="N17" s="18"/>
      <c r="O17" s="84"/>
      <c r="P17" s="18"/>
      <c r="R17" s="67">
        <v>1</v>
      </c>
    </row>
    <row r="18" spans="2:18" ht="16.2" thickBot="1" x14ac:dyDescent="0.35">
      <c r="B18" s="320" t="s">
        <v>122</v>
      </c>
      <c r="C18" s="320"/>
      <c r="D18" s="320"/>
      <c r="E18" s="320"/>
      <c r="F18" s="320"/>
      <c r="G18" s="320"/>
      <c r="H18" s="320"/>
      <c r="J18" s="219" t="s">
        <v>151</v>
      </c>
      <c r="K18" s="220"/>
      <c r="L18" s="220"/>
      <c r="M18" s="178"/>
      <c r="N18" s="18"/>
      <c r="O18" s="25"/>
      <c r="P18" s="18"/>
      <c r="R18" s="67">
        <v>2</v>
      </c>
    </row>
    <row r="19" spans="2:18" ht="15.6" x14ac:dyDescent="0.3">
      <c r="B19" s="320"/>
      <c r="C19" s="320"/>
      <c r="D19" s="320"/>
      <c r="E19" s="320"/>
      <c r="F19" s="320"/>
      <c r="G19" s="320"/>
      <c r="H19" s="320"/>
      <c r="J19" s="282" t="s">
        <v>0</v>
      </c>
      <c r="K19" s="283"/>
      <c r="L19" s="283"/>
      <c r="M19" s="185" t="s">
        <v>1</v>
      </c>
      <c r="N19" s="128" t="s">
        <v>11</v>
      </c>
      <c r="O19" s="25"/>
      <c r="P19" s="18"/>
      <c r="R19" s="67">
        <v>3</v>
      </c>
    </row>
    <row r="20" spans="2:18" ht="15.6" x14ac:dyDescent="0.3">
      <c r="B20" s="320"/>
      <c r="C20" s="320"/>
      <c r="D20" s="320"/>
      <c r="E20" s="320"/>
      <c r="F20" s="320"/>
      <c r="G20" s="320"/>
      <c r="H20" s="320"/>
      <c r="J20" s="311" t="s">
        <v>40</v>
      </c>
      <c r="K20" s="312"/>
      <c r="L20" s="312"/>
      <c r="M20" s="186" t="s">
        <v>172</v>
      </c>
      <c r="N20" s="200">
        <f>IF(C9=R66,C10,0)</f>
        <v>0</v>
      </c>
      <c r="O20" s="25"/>
      <c r="P20" s="18"/>
      <c r="R20" s="67">
        <v>4</v>
      </c>
    </row>
    <row r="21" spans="2:18" ht="15.6" x14ac:dyDescent="0.3">
      <c r="J21" s="311" t="s">
        <v>48</v>
      </c>
      <c r="K21" s="312"/>
      <c r="L21" s="312"/>
      <c r="M21" s="186" t="s">
        <v>173</v>
      </c>
      <c r="N21" s="200">
        <f>IF(C11=R34,C10,0)</f>
        <v>0</v>
      </c>
      <c r="O21" s="25"/>
      <c r="P21" s="18"/>
    </row>
    <row r="22" spans="2:18" ht="18.600000000000001" thickBot="1" x14ac:dyDescent="0.35">
      <c r="B22" s="85" t="s">
        <v>123</v>
      </c>
      <c r="C22" s="86"/>
      <c r="D22" s="86"/>
      <c r="E22" s="86"/>
      <c r="F22" s="86"/>
      <c r="G22" s="86"/>
      <c r="H22" s="86"/>
      <c r="I22" s="107"/>
      <c r="J22" s="313" t="s">
        <v>113</v>
      </c>
      <c r="K22" s="314"/>
      <c r="L22" s="314"/>
      <c r="M22" s="186" t="s">
        <v>175</v>
      </c>
      <c r="N22" s="201">
        <f>IF(C11=R35,C10,0)</f>
        <v>0</v>
      </c>
      <c r="O22" s="25"/>
      <c r="P22" s="18"/>
    </row>
    <row r="23" spans="2:18" ht="18.600000000000001" thickBot="1" x14ac:dyDescent="0.35">
      <c r="B23" s="87"/>
      <c r="C23" s="88"/>
      <c r="D23" s="88"/>
      <c r="E23" s="88"/>
      <c r="F23" s="88"/>
      <c r="G23" s="88"/>
      <c r="H23" s="89"/>
      <c r="I23" s="107"/>
      <c r="J23" s="313" t="s">
        <v>114</v>
      </c>
      <c r="K23" s="314"/>
      <c r="L23" s="314"/>
      <c r="M23" s="186" t="s">
        <v>174</v>
      </c>
      <c r="N23" s="201">
        <f>IF(C11=R36,C10,0)</f>
        <v>2</v>
      </c>
      <c r="O23" s="25"/>
      <c r="P23" s="18"/>
    </row>
    <row r="24" spans="2:18" ht="18.600000000000001" thickBot="1" x14ac:dyDescent="0.4">
      <c r="B24" s="90" t="s">
        <v>82</v>
      </c>
      <c r="C24" s="91">
        <f>C7+1</f>
        <v>1</v>
      </c>
      <c r="D24" s="130"/>
      <c r="E24" s="130"/>
      <c r="F24" s="130"/>
      <c r="G24" s="130"/>
      <c r="H24" s="94"/>
      <c r="I24" s="107"/>
      <c r="J24" s="311" t="s">
        <v>36</v>
      </c>
      <c r="K24" s="312"/>
      <c r="L24" s="312"/>
      <c r="M24" s="186" t="s">
        <v>176</v>
      </c>
      <c r="N24" s="193">
        <f>IF(C14&lt;500,2*C10,C10*ROUNDDOWN((C14/500+1),0))</f>
        <v>4</v>
      </c>
      <c r="O24" s="25"/>
      <c r="P24" s="18"/>
    </row>
    <row r="25" spans="2:18" ht="18" x14ac:dyDescent="0.3">
      <c r="B25" s="96"/>
      <c r="C25" s="97"/>
      <c r="D25" s="97"/>
      <c r="E25" s="97"/>
      <c r="F25" s="97"/>
      <c r="G25" s="97"/>
      <c r="H25" s="98"/>
      <c r="J25" s="311" t="s">
        <v>38</v>
      </c>
      <c r="K25" s="312"/>
      <c r="L25" s="312"/>
      <c r="M25" s="186" t="s">
        <v>177</v>
      </c>
      <c r="N25" s="200">
        <f>C10</f>
        <v>2</v>
      </c>
      <c r="O25" s="25"/>
      <c r="P25" s="18"/>
      <c r="Q25" s="12"/>
    </row>
    <row r="26" spans="2:18" ht="18" x14ac:dyDescent="0.3">
      <c r="B26" s="96"/>
      <c r="C26" s="97"/>
      <c r="D26" s="97"/>
      <c r="E26" s="97"/>
      <c r="F26" s="97"/>
      <c r="G26" s="97"/>
      <c r="H26" s="98"/>
      <c r="J26" s="245" t="s">
        <v>199</v>
      </c>
      <c r="K26" s="246"/>
      <c r="L26" s="246"/>
      <c r="M26" s="182" t="s">
        <v>163</v>
      </c>
      <c r="N26" s="193">
        <f>M11*2+M12*2+M13*2</f>
        <v>0</v>
      </c>
      <c r="O26" s="25"/>
      <c r="P26" s="18"/>
    </row>
    <row r="27" spans="2:18" ht="18" x14ac:dyDescent="0.3">
      <c r="B27" s="99" t="s">
        <v>83</v>
      </c>
      <c r="C27" s="174" t="s">
        <v>84</v>
      </c>
      <c r="D27" s="101" t="s">
        <v>53</v>
      </c>
      <c r="E27" s="174" t="s">
        <v>85</v>
      </c>
      <c r="F27" s="174" t="s">
        <v>86</v>
      </c>
      <c r="G27" s="174" t="s">
        <v>105</v>
      </c>
      <c r="H27" s="102" t="s">
        <v>106</v>
      </c>
      <c r="J27" s="311" t="s">
        <v>56</v>
      </c>
      <c r="K27" s="312"/>
      <c r="L27" s="312"/>
      <c r="M27" s="182" t="s">
        <v>164</v>
      </c>
      <c r="N27" s="194">
        <f>ROUNDUP((IF(C28=R10,(E28+F28)*2*G28,0)+IF(C29=R10,(E29+F29)*2*G29,0)+IF(C30=R10,(E30+F30)*2*G30,0)+IF(C31=R10,(E31+F31)*2*G31,0)+IF(C32=R10,(E32+F32)*2*G32,0))/1000,0)</f>
        <v>0</v>
      </c>
      <c r="O27" s="25"/>
      <c r="P27" s="18"/>
    </row>
    <row r="28" spans="2:18" ht="18" x14ac:dyDescent="0.3">
      <c r="B28" s="103" t="s">
        <v>87</v>
      </c>
      <c r="C28" s="34" t="s">
        <v>13</v>
      </c>
      <c r="D28" s="126">
        <v>0</v>
      </c>
      <c r="E28" s="35">
        <f>K6-IF(E32=0,0,IF(C32=R9,E32,IF(C32=R10,E32+2,E32+3)))-IF(E31=0,0,IF(C31=R9,E31,IF(C31=R10,E31+2,E31+3)))-IF(E30=0,0,IF(C30=R9,E30,IF(C30=R10,E30+2,E30+3)))-IF(E29=0,0,IF(C29=R9,E29,IF(C29=R10,E29+2,E29+3)))-44-IF(C28=R10,2,IF(C28=R11,3,0))-C7*8</f>
        <v>-64</v>
      </c>
      <c r="F28" s="104">
        <f>IF(C28=$R$11,$K$5-63,IF(C28=$R$10,$K$5-62,$K$5-60))</f>
        <v>-70</v>
      </c>
      <c r="G28" s="105">
        <f>$C$10</f>
        <v>2</v>
      </c>
      <c r="H28" s="106">
        <f>E28*F28*D28*G28/1000000</f>
        <v>0</v>
      </c>
      <c r="I28" s="107">
        <f>IF(E28&lt;&gt;0,1,0)</f>
        <v>1</v>
      </c>
      <c r="J28" s="313" t="s">
        <v>57</v>
      </c>
      <c r="K28" s="314"/>
      <c r="L28" s="314"/>
      <c r="M28" s="182" t="s">
        <v>165</v>
      </c>
      <c r="N28" s="194">
        <f>ROUNDUP((IF(C28=R11,(E28+F28)*2*G28,0)+IF(C29=R11,(E29+F29)*2*G29,0)+IF(C30=R11,(E30+F30)*2*G30,0)+IF(C31=R11,(E31+F31)*2*G31,0)+IF(C32=R11,(E32+F32)*2*G32,0))/1000,0)</f>
        <v>0</v>
      </c>
      <c r="O28" s="25"/>
      <c r="P28" s="18"/>
    </row>
    <row r="29" spans="2:18" ht="18" x14ac:dyDescent="0.3">
      <c r="B29" s="103" t="s">
        <v>88</v>
      </c>
      <c r="C29" s="34" t="s">
        <v>13</v>
      </c>
      <c r="D29" s="126">
        <v>0</v>
      </c>
      <c r="E29" s="36">
        <v>0</v>
      </c>
      <c r="F29" s="104">
        <f>IF(C29=$R$11,$K$5-63,IF(C29=$R$10,$K$5-62,$K$5-60))</f>
        <v>-70</v>
      </c>
      <c r="G29" s="105">
        <f>IF(E29&lt;&gt;0,$C$10,0)</f>
        <v>0</v>
      </c>
      <c r="H29" s="106">
        <f t="shared" ref="H29:H32" si="1">E29*F29*D29*G29/1000000</f>
        <v>0</v>
      </c>
      <c r="I29" s="107">
        <f>IF(E29&lt;&gt;0,1,0)</f>
        <v>0</v>
      </c>
      <c r="J29" s="311" t="s">
        <v>55</v>
      </c>
      <c r="K29" s="312"/>
      <c r="L29" s="312"/>
      <c r="M29" s="182" t="s">
        <v>166</v>
      </c>
      <c r="N29" s="193">
        <f>IF(AND(C12=R39,C9=R66),N26,0)</f>
        <v>0</v>
      </c>
      <c r="O29" s="25"/>
      <c r="P29" s="18"/>
    </row>
    <row r="30" spans="2:18" ht="18" x14ac:dyDescent="0.3">
      <c r="B30" s="103" t="s">
        <v>89</v>
      </c>
      <c r="C30" s="34" t="s">
        <v>13</v>
      </c>
      <c r="D30" s="126">
        <v>0</v>
      </c>
      <c r="E30" s="36">
        <v>0</v>
      </c>
      <c r="F30" s="104">
        <f>IF(C30=$R$11,$K$5-63,IF(C30=$R$10,$K$5-62,$K$5-60))</f>
        <v>-70</v>
      </c>
      <c r="G30" s="105">
        <f>IF(E30&lt;&gt;0,$C$10,0)</f>
        <v>0</v>
      </c>
      <c r="H30" s="106">
        <f t="shared" si="1"/>
        <v>0</v>
      </c>
      <c r="I30" s="107">
        <f>IF(E30&lt;&gt;0,1,0)</f>
        <v>0</v>
      </c>
      <c r="J30" s="250" t="s">
        <v>131</v>
      </c>
      <c r="K30" s="251"/>
      <c r="L30" s="252"/>
      <c r="M30" s="181" t="s">
        <v>167</v>
      </c>
      <c r="N30" s="195">
        <f>IF(AND(C12=R40,C9=R66),N26,0)</f>
        <v>0</v>
      </c>
      <c r="O30" s="25"/>
      <c r="P30" s="18"/>
    </row>
    <row r="31" spans="2:18" ht="18" x14ac:dyDescent="0.3">
      <c r="B31" s="103" t="s">
        <v>90</v>
      </c>
      <c r="C31" s="34" t="s">
        <v>13</v>
      </c>
      <c r="D31" s="126">
        <v>0</v>
      </c>
      <c r="E31" s="36">
        <v>0</v>
      </c>
      <c r="F31" s="104">
        <f>IF(C31=$R$11,$K$5-63,IF(C31=$R$10,$K$5-62,$K$5-60))</f>
        <v>-70</v>
      </c>
      <c r="G31" s="105">
        <f>IF(E31&lt;&gt;0,$C$10,0)</f>
        <v>0</v>
      </c>
      <c r="H31" s="106">
        <f t="shared" si="1"/>
        <v>0</v>
      </c>
      <c r="I31" s="107">
        <f>IF(E31&lt;&gt;0,1,0)</f>
        <v>0</v>
      </c>
      <c r="J31" s="253" t="s">
        <v>51</v>
      </c>
      <c r="K31" s="254"/>
      <c r="L31" s="255"/>
      <c r="M31" s="183" t="s">
        <v>168</v>
      </c>
      <c r="N31" s="196">
        <f>IF(C12=R42,ROUNDUP(L10*M10/1000,0),0)</f>
        <v>0</v>
      </c>
      <c r="O31" s="25"/>
      <c r="P31" s="18"/>
      <c r="R31" s="110" t="s">
        <v>92</v>
      </c>
    </row>
    <row r="32" spans="2:18" ht="18.600000000000001" thickBot="1" x14ac:dyDescent="0.35">
      <c r="B32" s="111" t="s">
        <v>91</v>
      </c>
      <c r="C32" s="34" t="s">
        <v>13</v>
      </c>
      <c r="D32" s="126">
        <v>0</v>
      </c>
      <c r="E32" s="36">
        <v>0</v>
      </c>
      <c r="F32" s="104">
        <f>IF(C32=$R$11,$K$5-63,IF(C32=$R$10,$K$5-62,$K$5-60))</f>
        <v>-70</v>
      </c>
      <c r="G32" s="105">
        <f>IF(E32&lt;&gt;0,$C$10,0)</f>
        <v>0</v>
      </c>
      <c r="H32" s="176">
        <f t="shared" si="1"/>
        <v>0</v>
      </c>
      <c r="I32" s="107">
        <f>IF(E32&lt;&gt;0,1,0)</f>
        <v>0</v>
      </c>
      <c r="J32" s="253" t="s">
        <v>107</v>
      </c>
      <c r="K32" s="254"/>
      <c r="L32" s="255"/>
      <c r="M32" s="183" t="s">
        <v>169</v>
      </c>
      <c r="N32" s="196">
        <f>IF(C12=R41,ROUNDUP(L10*M10/1000,0),0)</f>
        <v>0</v>
      </c>
      <c r="O32" s="25"/>
      <c r="P32" s="18"/>
      <c r="R32" s="110" t="s">
        <v>68</v>
      </c>
    </row>
    <row r="33" spans="2:18" ht="18.600000000000001" thickBot="1" x14ac:dyDescent="0.35">
      <c r="B33" s="96"/>
      <c r="C33" s="97"/>
      <c r="D33" s="97"/>
      <c r="E33" s="263" t="s">
        <v>54</v>
      </c>
      <c r="F33" s="263"/>
      <c r="G33" s="263"/>
      <c r="H33" s="112">
        <f>SUM(H28:H32)</f>
        <v>0</v>
      </c>
      <c r="J33" s="253" t="s">
        <v>124</v>
      </c>
      <c r="K33" s="254"/>
      <c r="L33" s="255"/>
      <c r="M33" s="161" t="s">
        <v>170</v>
      </c>
      <c r="N33" s="202">
        <f>IF(N32&gt;0,M10*2,0)</f>
        <v>0</v>
      </c>
      <c r="O33" s="25"/>
      <c r="P33" s="18"/>
    </row>
    <row r="34" spans="2:18" ht="18" x14ac:dyDescent="0.3">
      <c r="B34" s="96"/>
      <c r="C34" s="280" t="str">
        <f>IF((SUM(I28:I32)/C24)&lt;&gt;1,R45,R46)</f>
        <v>Верно внесены высоты вставок</v>
      </c>
      <c r="D34" s="280"/>
      <c r="E34" s="175">
        <f>IF(C34=R46,1,0)</f>
        <v>1</v>
      </c>
      <c r="F34" s="175"/>
      <c r="G34" s="175"/>
      <c r="H34" s="98"/>
      <c r="J34" s="309" t="s">
        <v>147</v>
      </c>
      <c r="K34" s="310"/>
      <c r="L34" s="310"/>
      <c r="M34" s="182" t="s">
        <v>178</v>
      </c>
      <c r="N34" s="202">
        <f>IF(C15=R53,C10,0)</f>
        <v>0</v>
      </c>
      <c r="O34" s="25"/>
      <c r="P34" s="18"/>
      <c r="R34" s="75" t="s">
        <v>48</v>
      </c>
    </row>
    <row r="35" spans="2:18" ht="18" x14ac:dyDescent="0.3">
      <c r="B35" s="96"/>
      <c r="C35" s="97"/>
      <c r="D35" s="97"/>
      <c r="E35" s="97"/>
      <c r="F35" s="97"/>
      <c r="G35" s="97"/>
      <c r="H35" s="98"/>
      <c r="J35" s="309" t="s">
        <v>209</v>
      </c>
      <c r="K35" s="310"/>
      <c r="L35" s="310"/>
      <c r="M35" s="182" t="s">
        <v>214</v>
      </c>
      <c r="N35" s="202">
        <f>IF(C9=R67,C10,0)</f>
        <v>2</v>
      </c>
      <c r="O35" s="25"/>
      <c r="P35" s="18"/>
      <c r="R35" s="75" t="s">
        <v>133</v>
      </c>
    </row>
    <row r="36" spans="2:18" ht="18.600000000000001" thickBot="1" x14ac:dyDescent="0.35">
      <c r="B36" s="96"/>
      <c r="C36" s="115"/>
      <c r="D36" s="115"/>
      <c r="E36" s="116"/>
      <c r="F36" s="116"/>
      <c r="G36" s="116"/>
      <c r="H36" s="98"/>
      <c r="J36" s="315" t="s">
        <v>125</v>
      </c>
      <c r="K36" s="316"/>
      <c r="L36" s="317"/>
      <c r="M36" s="56" t="s">
        <v>179</v>
      </c>
      <c r="N36" s="203">
        <f>C13</f>
        <v>0</v>
      </c>
      <c r="O36" s="25"/>
      <c r="P36" s="18"/>
      <c r="R36" s="75" t="s">
        <v>134</v>
      </c>
    </row>
    <row r="37" spans="2:18" ht="18" x14ac:dyDescent="0.3">
      <c r="B37" s="96"/>
      <c r="C37" s="97"/>
      <c r="D37" s="97"/>
      <c r="E37" s="97"/>
      <c r="F37" s="97"/>
      <c r="G37" s="97"/>
      <c r="H37" s="25"/>
      <c r="J37" s="141"/>
      <c r="K37" s="132"/>
      <c r="L37" s="244"/>
      <c r="M37" s="244"/>
      <c r="N37" s="244"/>
      <c r="O37" s="25"/>
      <c r="P37" s="18"/>
    </row>
    <row r="38" spans="2:18" ht="18" x14ac:dyDescent="0.3">
      <c r="B38" s="96"/>
      <c r="C38" s="281" t="str">
        <f>IF(AND(SUM(I28:I32)/C24=1,E32=0,C24&lt;&gt;1),R49,R50)</f>
        <v xml:space="preserve"> </v>
      </c>
      <c r="D38" s="281"/>
      <c r="E38" s="116"/>
      <c r="F38" s="116"/>
      <c r="G38" s="116"/>
      <c r="H38" s="25"/>
      <c r="J38" s="141"/>
      <c r="K38" s="18"/>
      <c r="L38" s="18"/>
      <c r="M38" s="18"/>
      <c r="N38" s="18"/>
      <c r="O38" s="25"/>
      <c r="P38" s="18"/>
    </row>
    <row r="39" spans="2:18" ht="18" x14ac:dyDescent="0.3">
      <c r="B39" s="96"/>
      <c r="C39" s="97"/>
      <c r="D39" s="97"/>
      <c r="E39" s="97"/>
      <c r="F39" s="97"/>
      <c r="G39" s="97"/>
      <c r="H39" s="25"/>
      <c r="J39" s="141"/>
      <c r="K39" s="18"/>
      <c r="L39" s="18"/>
      <c r="M39" s="18"/>
      <c r="N39" s="18"/>
      <c r="O39" s="25"/>
      <c r="P39" s="18"/>
      <c r="R39" s="12" t="s">
        <v>55</v>
      </c>
    </row>
    <row r="40" spans="2:18" ht="18" x14ac:dyDescent="0.3">
      <c r="B40" s="96"/>
      <c r="C40" s="97"/>
      <c r="D40" s="97"/>
      <c r="E40" s="97"/>
      <c r="F40" s="97"/>
      <c r="G40" s="97"/>
      <c r="H40" s="25"/>
      <c r="J40" s="141"/>
      <c r="K40" s="18"/>
      <c r="L40" s="18"/>
      <c r="M40" s="18"/>
      <c r="N40" s="18"/>
      <c r="O40" s="25"/>
      <c r="P40" s="18"/>
      <c r="R40" s="114" t="s">
        <v>120</v>
      </c>
    </row>
    <row r="41" spans="2:18" ht="18" x14ac:dyDescent="0.35">
      <c r="B41" s="117"/>
      <c r="C41" s="118"/>
      <c r="D41" s="175"/>
      <c r="E41" s="175"/>
      <c r="F41" s="175"/>
      <c r="G41" s="175"/>
      <c r="H41" s="25"/>
      <c r="J41" s="141"/>
      <c r="K41" s="18"/>
      <c r="L41" s="18"/>
      <c r="M41" s="18"/>
      <c r="N41" s="18"/>
      <c r="O41" s="25"/>
      <c r="P41" s="18"/>
      <c r="Q41" s="18"/>
      <c r="R41" s="114" t="s">
        <v>107</v>
      </c>
    </row>
    <row r="42" spans="2:18" x14ac:dyDescent="0.3">
      <c r="B42" s="26"/>
      <c r="C42" s="19"/>
      <c r="D42" s="19"/>
      <c r="E42" s="19"/>
      <c r="F42" s="19"/>
      <c r="G42" s="19"/>
      <c r="H42" s="27"/>
      <c r="J42" s="141"/>
      <c r="K42" s="18"/>
      <c r="L42" s="18"/>
      <c r="M42" s="18"/>
      <c r="N42" s="18"/>
      <c r="O42" s="25"/>
      <c r="P42" s="18"/>
      <c r="Q42" s="18"/>
      <c r="R42" s="12" t="s">
        <v>51</v>
      </c>
    </row>
    <row r="43" spans="2:18" ht="18" x14ac:dyDescent="0.35">
      <c r="B43" s="117"/>
      <c r="C43" s="118"/>
      <c r="D43" s="175"/>
      <c r="E43" s="175"/>
      <c r="F43" s="175"/>
      <c r="G43" s="175"/>
      <c r="H43" s="94"/>
      <c r="J43" s="141"/>
      <c r="K43" s="18"/>
      <c r="L43" s="18"/>
      <c r="M43" s="18"/>
      <c r="N43" s="18"/>
      <c r="O43" s="25"/>
    </row>
    <row r="44" spans="2:18" ht="18.600000000000001" thickBot="1" x14ac:dyDescent="0.4">
      <c r="B44" s="122"/>
      <c r="C44" s="123"/>
      <c r="D44" s="124"/>
      <c r="E44" s="124"/>
      <c r="F44" s="124"/>
      <c r="G44" s="124"/>
      <c r="H44" s="125"/>
      <c r="J44" s="146"/>
      <c r="K44" s="55"/>
      <c r="L44" s="289"/>
      <c r="M44" s="289"/>
      <c r="N44" s="289"/>
      <c r="O44" s="290"/>
    </row>
    <row r="45" spans="2:18" ht="18" x14ac:dyDescent="0.35">
      <c r="B45" s="118"/>
      <c r="C45" s="118"/>
      <c r="D45" s="175"/>
      <c r="E45" s="175"/>
      <c r="F45" s="175"/>
      <c r="G45" s="175"/>
      <c r="H45" s="175"/>
      <c r="R45" s="110" t="s">
        <v>94</v>
      </c>
    </row>
    <row r="46" spans="2:18" ht="18" x14ac:dyDescent="0.3">
      <c r="R46" s="110" t="s">
        <v>95</v>
      </c>
    </row>
    <row r="49" spans="17:18" ht="18" x14ac:dyDescent="0.35">
      <c r="R49" s="121" t="s">
        <v>104</v>
      </c>
    </row>
    <row r="50" spans="17:18" x14ac:dyDescent="0.3">
      <c r="R50" s="12" t="s">
        <v>68</v>
      </c>
    </row>
    <row r="52" spans="17:18" x14ac:dyDescent="0.3">
      <c r="Q52" s="12" t="s">
        <v>205</v>
      </c>
    </row>
    <row r="53" spans="17:18" x14ac:dyDescent="0.3">
      <c r="Q53" s="12" t="s">
        <v>111</v>
      </c>
      <c r="R53" s="75" t="s">
        <v>72</v>
      </c>
    </row>
    <row r="54" spans="17:18" x14ac:dyDescent="0.3">
      <c r="Q54" s="12" t="s">
        <v>206</v>
      </c>
      <c r="R54" s="75" t="s">
        <v>73</v>
      </c>
    </row>
    <row r="55" spans="17:18" x14ac:dyDescent="0.3">
      <c r="Q55" s="12" t="s">
        <v>112</v>
      </c>
    </row>
    <row r="56" spans="17:18" x14ac:dyDescent="0.3">
      <c r="Q56" s="12" t="s">
        <v>34</v>
      </c>
    </row>
    <row r="57" spans="17:18" x14ac:dyDescent="0.3">
      <c r="Q57" s="12" t="s">
        <v>35</v>
      </c>
    </row>
    <row r="58" spans="17:18" x14ac:dyDescent="0.3">
      <c r="Q58" s="12" t="s">
        <v>207</v>
      </c>
      <c r="R58" s="75" t="s">
        <v>150</v>
      </c>
    </row>
    <row r="59" spans="17:18" x14ac:dyDescent="0.3">
      <c r="Q59" s="12" t="s">
        <v>208</v>
      </c>
      <c r="R59" s="75" t="s">
        <v>145</v>
      </c>
    </row>
    <row r="60" spans="17:18" x14ac:dyDescent="0.3">
      <c r="Q60" s="64"/>
      <c r="R60" s="75" t="s">
        <v>216</v>
      </c>
    </row>
    <row r="61" spans="17:18" x14ac:dyDescent="0.3">
      <c r="Q61" s="64"/>
    </row>
    <row r="62" spans="17:18" x14ac:dyDescent="0.3">
      <c r="Q62" s="64"/>
      <c r="R62" s="12" t="s">
        <v>148</v>
      </c>
    </row>
    <row r="63" spans="17:18" x14ac:dyDescent="0.3">
      <c r="R63" s="75" t="s">
        <v>145</v>
      </c>
    </row>
    <row r="66" spans="18:18" x14ac:dyDescent="0.3">
      <c r="R66" s="75" t="s">
        <v>210</v>
      </c>
    </row>
    <row r="67" spans="18:18" x14ac:dyDescent="0.3">
      <c r="R67" s="75" t="s">
        <v>211</v>
      </c>
    </row>
  </sheetData>
  <sheetProtection algorithmName="SHA-512" hashValue="BRrIIUMv9a6g/If+IjwEojkZEWMVCmMawXEiP4UPbcMgvENJWFOof62VwrBD08uWhDY1B/rUr+lsW0pah9KeiQ==" saltValue="qDxv8b0lro/9fcgSrLEt6Q==" spinCount="100000" sheet="1" selectLockedCells="1"/>
  <mergeCells count="45">
    <mergeCell ref="C38:D38"/>
    <mergeCell ref="D14:H14"/>
    <mergeCell ref="D12:H12"/>
    <mergeCell ref="D13:H13"/>
    <mergeCell ref="J30:L30"/>
    <mergeCell ref="J31:L31"/>
    <mergeCell ref="J32:L32"/>
    <mergeCell ref="C34:D34"/>
    <mergeCell ref="E33:G33"/>
    <mergeCell ref="B17:H17"/>
    <mergeCell ref="B18:H20"/>
    <mergeCell ref="D15:H15"/>
    <mergeCell ref="J19:L19"/>
    <mergeCell ref="J20:L20"/>
    <mergeCell ref="J21:L21"/>
    <mergeCell ref="L37:N37"/>
    <mergeCell ref="J34:L34"/>
    <mergeCell ref="J24:L24"/>
    <mergeCell ref="J35:L35"/>
    <mergeCell ref="L44:O44"/>
    <mergeCell ref="J22:L22"/>
    <mergeCell ref="J23:L23"/>
    <mergeCell ref="J33:L33"/>
    <mergeCell ref="J36:L36"/>
    <mergeCell ref="J26:L26"/>
    <mergeCell ref="J29:L29"/>
    <mergeCell ref="J27:L27"/>
    <mergeCell ref="J28:L28"/>
    <mergeCell ref="J25:L25"/>
    <mergeCell ref="D10:H10"/>
    <mergeCell ref="D8:H8"/>
    <mergeCell ref="J18:L18"/>
    <mergeCell ref="J3:K3"/>
    <mergeCell ref="J8:M8"/>
    <mergeCell ref="D4:H4"/>
    <mergeCell ref="D11:H11"/>
    <mergeCell ref="D5:H5"/>
    <mergeCell ref="J15:O15"/>
    <mergeCell ref="D9:H9"/>
    <mergeCell ref="B1:O1"/>
    <mergeCell ref="B2:H2"/>
    <mergeCell ref="B3:C3"/>
    <mergeCell ref="D6:H6"/>
    <mergeCell ref="D7:H7"/>
    <mergeCell ref="J2:O2"/>
  </mergeCells>
  <conditionalFormatting sqref="D5">
    <cfRule type="cellIs" dxfId="35" priority="67" operator="equal">
      <formula>$R$58</formula>
    </cfRule>
  </conditionalFormatting>
  <conditionalFormatting sqref="K5:K6 L10:N10 L11:M14 O14 N20:N21 N24:N26 N29:N36">
    <cfRule type="expression" dxfId="34" priority="10">
      <formula>$C$5=0</formula>
    </cfRule>
  </conditionalFormatting>
  <conditionalFormatting sqref="N27:N28">
    <cfRule type="expression" dxfId="33" priority="61">
      <formula>$C$5=0</formula>
    </cfRule>
  </conditionalFormatting>
  <conditionalFormatting sqref="D5:H15">
    <cfRule type="expression" dxfId="32" priority="1">
      <formula>$C5=0</formula>
    </cfRule>
  </conditionalFormatting>
  <conditionalFormatting sqref="O10">
    <cfRule type="expression" dxfId="31" priority="58">
      <formula>$C$5=0</formula>
    </cfRule>
  </conditionalFormatting>
  <conditionalFormatting sqref="O11:O13">
    <cfRule type="expression" dxfId="30" priority="57">
      <formula>$C$5=0</formula>
    </cfRule>
  </conditionalFormatting>
  <conditionalFormatting sqref="N11:N14">
    <cfRule type="expression" dxfId="29" priority="49">
      <formula>$C$5=0</formula>
    </cfRule>
  </conditionalFormatting>
  <conditionalFormatting sqref="D12:H12">
    <cfRule type="expression" dxfId="28" priority="35">
      <formula>$C$5=0</formula>
    </cfRule>
  </conditionalFormatting>
  <conditionalFormatting sqref="C13">
    <cfRule type="cellIs" dxfId="27" priority="34" operator="greaterThan">
      <formula>0</formula>
    </cfRule>
  </conditionalFormatting>
  <conditionalFormatting sqref="D13:H13">
    <cfRule type="expression" dxfId="26" priority="33">
      <formula>$C$5=0</formula>
    </cfRule>
  </conditionalFormatting>
  <conditionalFormatting sqref="N32">
    <cfRule type="expression" dxfId="25" priority="32">
      <formula>$C$4=0</formula>
    </cfRule>
  </conditionalFormatting>
  <conditionalFormatting sqref="N31">
    <cfRule type="expression" dxfId="24" priority="31">
      <formula>$C$4=0</formula>
    </cfRule>
  </conditionalFormatting>
  <conditionalFormatting sqref="N33">
    <cfRule type="expression" dxfId="23" priority="30">
      <formula>$C$4=0</formula>
    </cfRule>
  </conditionalFormatting>
  <conditionalFormatting sqref="N36">
    <cfRule type="expression" dxfId="22" priority="29">
      <formula>$C$4=0</formula>
    </cfRule>
  </conditionalFormatting>
  <conditionalFormatting sqref="C14">
    <cfRule type="cellIs" dxfId="21" priority="27" operator="greaterThan">
      <formula>0</formula>
    </cfRule>
  </conditionalFormatting>
  <conditionalFormatting sqref="D14:H14">
    <cfRule type="expression" dxfId="20" priority="26">
      <formula>$C$5=0</formula>
    </cfRule>
  </conditionalFormatting>
  <conditionalFormatting sqref="D10:H11">
    <cfRule type="expression" dxfId="19" priority="20">
      <formula>$C$5=0</formula>
    </cfRule>
  </conditionalFormatting>
  <conditionalFormatting sqref="E28 H33 F28:H32 N22:N23">
    <cfRule type="expression" dxfId="18" priority="19">
      <formula>$C$5=0</formula>
    </cfRule>
  </conditionalFormatting>
  <conditionalFormatting sqref="C15">
    <cfRule type="cellIs" dxfId="17" priority="18" operator="greaterThan">
      <formula>0</formula>
    </cfRule>
  </conditionalFormatting>
  <conditionalFormatting sqref="D15:H15">
    <cfRule type="expression" dxfId="16" priority="15">
      <formula>$C$6=0</formula>
    </cfRule>
  </conditionalFormatting>
  <conditionalFormatting sqref="N34">
    <cfRule type="expression" dxfId="15" priority="13">
      <formula>$C$4=0</formula>
    </cfRule>
  </conditionalFormatting>
  <conditionalFormatting sqref="D15:H15">
    <cfRule type="expression" dxfId="14" priority="150">
      <formula>#REF!="нет"</formula>
    </cfRule>
    <cfRule type="expression" dxfId="13" priority="151">
      <formula>#REF!="невозможно установить, ширина двери должна быть не менее 650 мм"</formula>
    </cfRule>
  </conditionalFormatting>
  <conditionalFormatting sqref="K6">
    <cfRule type="expression" dxfId="12" priority="21">
      <formula>$K$6&gt;3200</formula>
    </cfRule>
  </conditionalFormatting>
  <conditionalFormatting sqref="N35">
    <cfRule type="expression" dxfId="11" priority="8">
      <formula>$C$4=0</formula>
    </cfRule>
  </conditionalFormatting>
  <conditionalFormatting sqref="K5">
    <cfRule type="expression" dxfId="10" priority="186">
      <formula>$C$10=0</formula>
    </cfRule>
    <cfRule type="expression" dxfId="9" priority="187">
      <formula>AND($C$9=$R$66,OR($K$5&lt;200,$K$5&gt;700),$C$5&gt;0)</formula>
    </cfRule>
    <cfRule type="expression" dxfId="8" priority="2">
      <formula>AND($C$9=$R$67,OR($K$5&lt;200,$K$5&gt;900),$C$5&gt;0)</formula>
    </cfRule>
  </conditionalFormatting>
  <conditionalFormatting sqref="C38">
    <cfRule type="expression" dxfId="7" priority="204">
      <formula>$C$38=$R$49</formula>
    </cfRule>
  </conditionalFormatting>
  <conditionalFormatting sqref="C34">
    <cfRule type="expression" dxfId="6" priority="205">
      <formula>$C$34=$R$46</formula>
    </cfRule>
  </conditionalFormatting>
  <conditionalFormatting sqref="C12">
    <cfRule type="expression" dxfId="5" priority="206">
      <formula>AND($C$9=$R$67,OR($C$12=$R$39,$C$12=$R$40))</formula>
    </cfRule>
    <cfRule type="cellIs" dxfId="4" priority="207" operator="greaterThan">
      <formula>0</formula>
    </cfRule>
  </conditionalFormatting>
  <conditionalFormatting sqref="C34:D34">
    <cfRule type="expression" dxfId="3" priority="208">
      <formula>$C$34=$R$45</formula>
    </cfRule>
  </conditionalFormatting>
  <conditionalFormatting sqref="D6:H6">
    <cfRule type="expression" dxfId="2" priority="209">
      <formula>$D$6=$R$62</formula>
    </cfRule>
  </conditionalFormatting>
  <conditionalFormatting sqref="D9:H9">
    <cfRule type="expression" dxfId="1" priority="3">
      <formula>$C$5=0</formula>
    </cfRule>
  </conditionalFormatting>
  <conditionalFormatting sqref="D5:H5">
    <cfRule type="cellIs" dxfId="0" priority="60" operator="equal">
      <formula>$R$60</formula>
    </cfRule>
  </conditionalFormatting>
  <dataValidations count="10">
    <dataValidation type="list" allowBlank="1" showInputMessage="1" showErrorMessage="1" sqref="C10">
      <formula1>$R$5:$R$6</formula1>
    </dataValidation>
    <dataValidation type="list" allowBlank="1" showInputMessage="1" showErrorMessage="1" sqref="C11">
      <formula1>$R$34:$R$36</formula1>
    </dataValidation>
    <dataValidation type="list" allowBlank="1" showInputMessage="1" showErrorMessage="1" sqref="C7">
      <formula1>$R$16:$R$20</formula1>
    </dataValidation>
    <dataValidation type="list" allowBlank="1" showInputMessage="1" showErrorMessage="1" sqref="C12">
      <formula1>$R$39:$R$42</formula1>
    </dataValidation>
    <dataValidation type="whole" allowBlank="1" showInputMessage="1" showErrorMessage="1" sqref="C13">
      <formula1>0</formula1>
      <formula2>20</formula2>
    </dataValidation>
    <dataValidation type="list" allowBlank="1" showInputMessage="1" showErrorMessage="1" sqref="C28:C32">
      <formula1>$R$9:$R$11</formula1>
    </dataValidation>
    <dataValidation type="whole" allowBlank="1" showInputMessage="1" showErrorMessage="1" sqref="C14">
      <formula1>150</formula1>
      <formula2>K6</formula2>
    </dataValidation>
    <dataValidation type="list" allowBlank="1" showInputMessage="1" showErrorMessage="1" sqref="C15">
      <formula1>$R$53:$R$54</formula1>
    </dataValidation>
    <dataValidation type="list" allowBlank="1" showInputMessage="1" showErrorMessage="1" sqref="C8">
      <formula1>$Q$52:$Q$59</formula1>
    </dataValidation>
    <dataValidation type="list" allowBlank="1" showInputMessage="1" showErrorMessage="1" sqref="C9">
      <formula1>$R$66:$R$67</formula1>
    </dataValidation>
  </dataValidation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40" orientation="landscape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0" id="{3A7EAEEA-726E-4DA4-B12F-F689FFE67DAE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E34:G34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1"/>
    <pageSetUpPr fitToPage="1"/>
  </sheetPr>
  <dimension ref="B1:W62"/>
  <sheetViews>
    <sheetView zoomScale="70" zoomScaleNormal="70" workbookViewId="0">
      <selection activeCell="C5" sqref="C5"/>
    </sheetView>
  </sheetViews>
  <sheetFormatPr defaultColWidth="8.88671875" defaultRowHeight="14.4" x14ac:dyDescent="0.3"/>
  <cols>
    <col min="1" max="1" width="1" style="75" customWidth="1"/>
    <col min="2" max="2" width="44.44140625" style="75" customWidth="1"/>
    <col min="3" max="3" width="40.33203125" style="75" customWidth="1"/>
    <col min="4" max="8" width="14.6640625" style="75" customWidth="1"/>
    <col min="9" max="9" width="1.6640625" style="75" customWidth="1"/>
    <col min="10" max="10" width="25" style="75" customWidth="1"/>
    <col min="11" max="11" width="16.109375" style="75" customWidth="1"/>
    <col min="12" max="12" width="12.88671875" style="75" customWidth="1"/>
    <col min="13" max="13" width="16.88671875" style="75" customWidth="1"/>
    <col min="14" max="14" width="15.44140625" style="75" customWidth="1"/>
    <col min="15" max="15" width="16.6640625" style="75" customWidth="1"/>
    <col min="16" max="16" width="31.44140625" style="75" hidden="1" customWidth="1"/>
    <col min="17" max="17" width="27.33203125" style="75" hidden="1" customWidth="1"/>
    <col min="18" max="21" width="8.88671875" style="75" hidden="1" customWidth="1"/>
    <col min="22" max="22" width="0" style="75" hidden="1" customWidth="1"/>
    <col min="23" max="16384" width="8.88671875" style="75"/>
  </cols>
  <sheetData>
    <row r="1" spans="2:23" ht="18.600000000000001" thickBot="1" x14ac:dyDescent="0.35">
      <c r="B1" s="303" t="s">
        <v>76</v>
      </c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5"/>
      <c r="P1" s="135"/>
    </row>
    <row r="2" spans="2:23" s="13" customFormat="1" x14ac:dyDescent="0.3">
      <c r="B2" s="216" t="s">
        <v>79</v>
      </c>
      <c r="C2" s="217"/>
      <c r="D2" s="217"/>
      <c r="E2" s="217"/>
      <c r="F2" s="217"/>
      <c r="G2" s="217"/>
      <c r="H2" s="218"/>
      <c r="J2" s="211" t="s">
        <v>80</v>
      </c>
      <c r="K2" s="212"/>
      <c r="L2" s="212"/>
      <c r="M2" s="212"/>
      <c r="N2" s="212"/>
      <c r="O2" s="213"/>
      <c r="P2" s="66"/>
      <c r="Q2" s="147"/>
      <c r="R2" s="147"/>
      <c r="S2" s="147"/>
      <c r="T2" s="147"/>
      <c r="U2" s="147"/>
      <c r="V2" s="147"/>
      <c r="W2" s="147"/>
    </row>
    <row r="3" spans="2:23" ht="15.6" x14ac:dyDescent="0.3">
      <c r="B3" s="219" t="s">
        <v>17</v>
      </c>
      <c r="C3" s="220"/>
      <c r="D3" s="18"/>
      <c r="E3" s="18"/>
      <c r="F3" s="18"/>
      <c r="G3" s="18"/>
      <c r="H3" s="25"/>
      <c r="J3" s="219" t="s">
        <v>74</v>
      </c>
      <c r="K3" s="220"/>
      <c r="L3" s="18"/>
      <c r="M3" s="18"/>
      <c r="N3" s="18"/>
      <c r="O3" s="25"/>
      <c r="P3" s="18"/>
      <c r="Q3" s="18"/>
      <c r="R3" s="18"/>
      <c r="S3" s="18"/>
      <c r="T3" s="18"/>
      <c r="U3" s="18"/>
      <c r="V3" s="18"/>
      <c r="W3" s="18"/>
    </row>
    <row r="4" spans="2:23" ht="18" x14ac:dyDescent="0.3">
      <c r="B4" s="148" t="s">
        <v>6</v>
      </c>
      <c r="C4" s="149" t="s">
        <v>18</v>
      </c>
      <c r="D4" s="325" t="s">
        <v>21</v>
      </c>
      <c r="E4" s="326"/>
      <c r="F4" s="326"/>
      <c r="G4" s="326"/>
      <c r="H4" s="327"/>
      <c r="J4" s="49" t="s">
        <v>0</v>
      </c>
      <c r="K4" s="179" t="s">
        <v>18</v>
      </c>
      <c r="L4" s="18"/>
      <c r="M4" s="18"/>
      <c r="N4" s="18"/>
      <c r="O4" s="25"/>
      <c r="P4" s="18"/>
      <c r="Q4" s="18"/>
      <c r="R4" s="18"/>
      <c r="S4" s="18"/>
      <c r="T4" s="18"/>
      <c r="U4" s="18"/>
      <c r="V4" s="18"/>
      <c r="W4" s="18"/>
    </row>
    <row r="5" spans="2:23" ht="18" x14ac:dyDescent="0.3">
      <c r="B5" s="43" t="s">
        <v>96</v>
      </c>
      <c r="C5" s="58">
        <v>0</v>
      </c>
      <c r="D5" s="306" t="str">
        <f>IF(OR(K5&lt;200,K5&gt;1200),Q46,Q47)</f>
        <v>не рекомендуем, ширина двери должна быть от 200 мм до 700 мм</v>
      </c>
      <c r="E5" s="307"/>
      <c r="F5" s="307"/>
      <c r="G5" s="307"/>
      <c r="H5" s="308"/>
      <c r="J5" s="138" t="s">
        <v>20</v>
      </c>
      <c r="K5" s="139">
        <f>ROUNDDOWN(IF(AND(C9=Q18,OR(C11=Q38,C11=Q39)),(C5+39+39)/4,
IF(AND(C9=Q18,OR(C11=Q40,C11=Q41)),(C5-10+39+39)/4,
IF(AND(OR(C9=Q16,C9=Q17,C9=Q19),C11=Q38),C5/C10,
IF(AND(OR(C9=Q16,C9=Q17,C9=Q19),C11=Q39),(C5-2)/C10,
IF(AND(OR(C9=Q16,C9=Q17,C9=Q19),OR(C11=Q40,C11=Q41)),(C5-10)/C10))))),0)</f>
        <v>-10</v>
      </c>
      <c r="L5" s="18"/>
      <c r="M5" s="18"/>
      <c r="N5" s="18"/>
      <c r="O5" s="25"/>
      <c r="P5" s="18"/>
      <c r="Q5" s="18"/>
      <c r="R5" s="18"/>
      <c r="S5" s="18"/>
      <c r="T5" s="18"/>
      <c r="U5" s="18"/>
      <c r="V5" s="18"/>
      <c r="W5" s="18"/>
    </row>
    <row r="6" spans="2:23" ht="18" x14ac:dyDescent="0.3">
      <c r="B6" s="43" t="s">
        <v>97</v>
      </c>
      <c r="C6" s="58">
        <v>0</v>
      </c>
      <c r="D6" s="306" t="str">
        <f>IF(K6&gt;3200,Q50,Q51)</f>
        <v>допустимо</v>
      </c>
      <c r="E6" s="307"/>
      <c r="F6" s="307"/>
      <c r="G6" s="307"/>
      <c r="H6" s="308"/>
      <c r="J6" s="138" t="s">
        <v>19</v>
      </c>
      <c r="K6" s="139">
        <f>IF(OR(C9=Q16,C9=Q17,C9=Q18),C6-45,C6-85)</f>
        <v>-45</v>
      </c>
      <c r="L6" s="18"/>
      <c r="M6" s="18"/>
      <c r="N6" s="18"/>
      <c r="O6" s="25"/>
      <c r="P6" s="18"/>
      <c r="Q6" s="18"/>
      <c r="R6" s="18"/>
      <c r="S6" s="18"/>
      <c r="T6" s="18"/>
      <c r="U6" s="18"/>
      <c r="V6" s="18"/>
      <c r="W6" s="18"/>
    </row>
    <row r="7" spans="2:23" ht="18" x14ac:dyDescent="0.3">
      <c r="B7" s="43" t="s">
        <v>98</v>
      </c>
      <c r="C7" s="59">
        <v>0</v>
      </c>
      <c r="D7" s="295" t="s">
        <v>16</v>
      </c>
      <c r="E7" s="296"/>
      <c r="F7" s="296"/>
      <c r="G7" s="296"/>
      <c r="H7" s="297"/>
      <c r="J7" s="141"/>
      <c r="K7" s="18"/>
      <c r="L7" s="18"/>
      <c r="M7" s="18"/>
      <c r="N7" s="18"/>
      <c r="O7" s="25"/>
      <c r="P7" s="18"/>
      <c r="Q7" s="150"/>
      <c r="R7" s="18"/>
      <c r="S7" s="18"/>
      <c r="T7" s="18"/>
      <c r="U7" s="18"/>
      <c r="V7" s="18"/>
      <c r="W7" s="18"/>
    </row>
    <row r="8" spans="2:23" ht="19.5" customHeight="1" x14ac:dyDescent="0.3">
      <c r="B8" s="43" t="s">
        <v>99</v>
      </c>
      <c r="C8" s="59" t="s">
        <v>205</v>
      </c>
      <c r="D8" s="333"/>
      <c r="E8" s="334"/>
      <c r="F8" s="334"/>
      <c r="G8" s="334"/>
      <c r="H8" s="335"/>
      <c r="J8" s="219" t="s">
        <v>152</v>
      </c>
      <c r="K8" s="220"/>
      <c r="L8" s="220"/>
      <c r="M8" s="220"/>
      <c r="N8" s="178"/>
      <c r="O8" s="191"/>
      <c r="P8" s="18"/>
      <c r="Q8" s="137"/>
      <c r="T8" s="22"/>
    </row>
    <row r="9" spans="2:23" ht="35.1" customHeight="1" x14ac:dyDescent="0.3">
      <c r="B9" s="44" t="s">
        <v>100</v>
      </c>
      <c r="C9" s="57" t="s">
        <v>63</v>
      </c>
      <c r="D9" s="306"/>
      <c r="E9" s="307"/>
      <c r="F9" s="307"/>
      <c r="G9" s="307"/>
      <c r="H9" s="308"/>
      <c r="J9" s="49" t="s">
        <v>0</v>
      </c>
      <c r="K9" s="179" t="s">
        <v>1</v>
      </c>
      <c r="L9" s="179" t="s">
        <v>10</v>
      </c>
      <c r="M9" s="179" t="s">
        <v>12</v>
      </c>
      <c r="N9" s="151" t="s">
        <v>78</v>
      </c>
      <c r="O9" s="73" t="s">
        <v>33</v>
      </c>
      <c r="P9" s="18"/>
      <c r="T9" s="152"/>
    </row>
    <row r="10" spans="2:23" ht="35.1" customHeight="1" x14ac:dyDescent="0.3">
      <c r="B10" s="71" t="s">
        <v>101</v>
      </c>
      <c r="C10" s="59">
        <v>1</v>
      </c>
      <c r="D10" s="330" t="s">
        <v>67</v>
      </c>
      <c r="E10" s="331"/>
      <c r="F10" s="331"/>
      <c r="G10" s="331"/>
      <c r="H10" s="332"/>
      <c r="J10" s="187" t="s">
        <v>2</v>
      </c>
      <c r="K10" s="186" t="s">
        <v>155</v>
      </c>
      <c r="L10" s="163">
        <f>K6</f>
        <v>-45</v>
      </c>
      <c r="M10" s="164">
        <f>IF(AND(C6&gt;0,C9=Q18),4,IF(AND(C6&gt;0,OR(C9=Q16,C9=Q17,C9=Q19)),C10*2,0))</f>
        <v>0</v>
      </c>
      <c r="N10" s="164"/>
      <c r="O10" s="192">
        <f>IF(L10&gt;2650,M10,M10/2)</f>
        <v>0</v>
      </c>
      <c r="P10" s="18"/>
    </row>
    <row r="11" spans="2:23" ht="35.1" customHeight="1" x14ac:dyDescent="0.3">
      <c r="B11" s="79" t="s">
        <v>119</v>
      </c>
      <c r="C11" s="60" t="s">
        <v>107</v>
      </c>
      <c r="D11" s="236" t="s">
        <v>138</v>
      </c>
      <c r="E11" s="236"/>
      <c r="F11" s="236"/>
      <c r="G11" s="236"/>
      <c r="H11" s="238"/>
      <c r="J11" s="187" t="s">
        <v>3</v>
      </c>
      <c r="K11" s="186" t="s">
        <v>156</v>
      </c>
      <c r="L11" s="163">
        <f>K5-78</f>
        <v>-88</v>
      </c>
      <c r="M11" s="164">
        <f>IF(AND(C6&gt;0,C9=Q18),2,IF(AND(C6&gt;0,OR(C9=Q16,C9=Q17,C9=Q19)),C10,0))</f>
        <v>0</v>
      </c>
      <c r="N11" s="163">
        <f>L11*M11</f>
        <v>0</v>
      </c>
      <c r="O11" s="192">
        <f>CEILING((L11*M11)/5000,1)</f>
        <v>0</v>
      </c>
      <c r="P11" s="18"/>
      <c r="Q11" s="95" t="s">
        <v>13</v>
      </c>
    </row>
    <row r="12" spans="2:23" ht="15.6" x14ac:dyDescent="0.3">
      <c r="J12" s="187" t="s">
        <v>4</v>
      </c>
      <c r="K12" s="186" t="s">
        <v>157</v>
      </c>
      <c r="L12" s="163">
        <f>K5-78</f>
        <v>-88</v>
      </c>
      <c r="M12" s="164">
        <f>IF(AND(C6&gt;0,C9=Q18),2,IF(AND(C6&gt;0,OR(C9=Q16,C9=Q17,C9=Q19)),C10,0))</f>
        <v>0</v>
      </c>
      <c r="N12" s="163">
        <f t="shared" ref="N12:N17" si="0">L12*M12</f>
        <v>0</v>
      </c>
      <c r="O12" s="192">
        <f>CEILING((L12*M12)/5000,1)</f>
        <v>0</v>
      </c>
      <c r="P12" s="18"/>
      <c r="Q12" s="95" t="s">
        <v>14</v>
      </c>
    </row>
    <row r="13" spans="2:23" ht="15.6" x14ac:dyDescent="0.3">
      <c r="B13" s="220" t="s">
        <v>29</v>
      </c>
      <c r="C13" s="220"/>
      <c r="D13" s="220"/>
      <c r="E13" s="220"/>
      <c r="F13" s="220"/>
      <c r="G13" s="220"/>
      <c r="H13" s="220"/>
      <c r="J13" s="187" t="s">
        <v>5</v>
      </c>
      <c r="K13" s="186" t="s">
        <v>158</v>
      </c>
      <c r="L13" s="163">
        <f>IF(C7&gt;0,K5-78,0)</f>
        <v>0</v>
      </c>
      <c r="M13" s="164">
        <f>IF(AND(C9=Q18,C7&gt;0),C7*2,C7*C10)</f>
        <v>0</v>
      </c>
      <c r="N13" s="163">
        <f t="shared" si="0"/>
        <v>0</v>
      </c>
      <c r="O13" s="192">
        <f>IF(L13="нет",0,CEILING((L13*M13)/5000,1))</f>
        <v>0</v>
      </c>
      <c r="P13" s="18"/>
      <c r="Q13" s="95" t="s">
        <v>15</v>
      </c>
      <c r="R13" s="18"/>
      <c r="S13" s="18"/>
      <c r="T13" s="18"/>
    </row>
    <row r="14" spans="2:23" ht="15.6" x14ac:dyDescent="0.3">
      <c r="B14" s="262" t="s">
        <v>122</v>
      </c>
      <c r="C14" s="262"/>
      <c r="D14" s="262"/>
      <c r="E14" s="262"/>
      <c r="F14" s="262"/>
      <c r="G14" s="262"/>
      <c r="H14" s="262"/>
      <c r="J14" s="187" t="s">
        <v>7</v>
      </c>
      <c r="K14" s="186" t="s">
        <v>159</v>
      </c>
      <c r="L14" s="163">
        <f>IF(OR(C9=Q16,C9=Q18),K5-120,0)</f>
        <v>-130</v>
      </c>
      <c r="M14" s="164">
        <f>IF(AND(L14&gt;0,C9=Q16),C10,IF(AND(L14&gt;0,C9=Q18),2,0))</f>
        <v>0</v>
      </c>
      <c r="N14" s="323">
        <f>L14*M14+L15*M15</f>
        <v>0</v>
      </c>
      <c r="O14" s="321">
        <f>CEILING((L14*M14+L15*M15)/5000,1)</f>
        <v>0</v>
      </c>
      <c r="P14" s="18"/>
      <c r="Q14" s="18"/>
      <c r="R14" s="18"/>
      <c r="S14" s="18"/>
      <c r="T14" s="18"/>
    </row>
    <row r="15" spans="2:23" ht="15.6" x14ac:dyDescent="0.3">
      <c r="B15" s="262"/>
      <c r="C15" s="262"/>
      <c r="D15" s="262"/>
      <c r="E15" s="262"/>
      <c r="F15" s="262"/>
      <c r="G15" s="262"/>
      <c r="H15" s="262"/>
      <c r="J15" s="187" t="s">
        <v>7</v>
      </c>
      <c r="K15" s="186" t="s">
        <v>159</v>
      </c>
      <c r="L15" s="163">
        <f>IF(C9=Q18,(C5-K5*2)-120,0)</f>
        <v>0</v>
      </c>
      <c r="M15" s="164">
        <f>IF(L15&gt;0,1,0)</f>
        <v>0</v>
      </c>
      <c r="N15" s="324"/>
      <c r="O15" s="322"/>
      <c r="P15" s="18"/>
      <c r="Q15" s="18"/>
      <c r="R15" s="18"/>
      <c r="S15" s="18"/>
      <c r="T15" s="18"/>
    </row>
    <row r="16" spans="2:23" ht="15.6" x14ac:dyDescent="0.3">
      <c r="B16" s="262"/>
      <c r="C16" s="262"/>
      <c r="D16" s="262"/>
      <c r="E16" s="262"/>
      <c r="F16" s="262"/>
      <c r="G16" s="262"/>
      <c r="H16" s="262"/>
      <c r="J16" s="187" t="s">
        <v>8</v>
      </c>
      <c r="K16" s="186" t="s">
        <v>160</v>
      </c>
      <c r="L16" s="163">
        <f>IF(OR(C9=Q16,C9=Q18),C5,0)</f>
        <v>0</v>
      </c>
      <c r="M16" s="164">
        <f>IF(C9=Q16,2,IF(C9=Q18,1,0))</f>
        <v>2</v>
      </c>
      <c r="N16" s="163">
        <f t="shared" si="0"/>
        <v>0</v>
      </c>
      <c r="O16" s="192">
        <f>CEILING((L16*M16)/5000,1)</f>
        <v>0</v>
      </c>
      <c r="P16" s="18"/>
      <c r="Q16" s="153" t="s">
        <v>63</v>
      </c>
      <c r="R16" s="18"/>
      <c r="S16" s="18"/>
      <c r="T16" s="18"/>
    </row>
    <row r="17" spans="2:20" ht="15.6" x14ac:dyDescent="0.3">
      <c r="J17" s="187" t="s">
        <v>9</v>
      </c>
      <c r="K17" s="186" t="s">
        <v>161</v>
      </c>
      <c r="L17" s="163">
        <f>IF(OR(C9=Q18,C9=Q16,C9=Q17),L11-50,0)</f>
        <v>-138</v>
      </c>
      <c r="M17" s="164">
        <f>IF(OR(C9=Q16,C9=Q17),C10,IF(C9=Q18,2,0))</f>
        <v>1</v>
      </c>
      <c r="N17" s="163">
        <f t="shared" si="0"/>
        <v>-138</v>
      </c>
      <c r="O17" s="192">
        <f>CEILING((L17*M17)/5400,1)</f>
        <v>0</v>
      </c>
      <c r="P17" s="18"/>
      <c r="Q17" s="153" t="s">
        <v>65</v>
      </c>
      <c r="R17" s="18"/>
      <c r="S17" s="18"/>
      <c r="T17" s="18"/>
    </row>
    <row r="18" spans="2:20" ht="18.600000000000001" thickBot="1" x14ac:dyDescent="0.35">
      <c r="B18" s="85" t="s">
        <v>123</v>
      </c>
      <c r="C18" s="86"/>
      <c r="D18" s="86"/>
      <c r="E18" s="86"/>
      <c r="F18" s="86"/>
      <c r="G18" s="86"/>
      <c r="H18" s="86"/>
      <c r="J18" s="259"/>
      <c r="K18" s="260"/>
      <c r="L18" s="260"/>
      <c r="M18" s="260"/>
      <c r="N18" s="260"/>
      <c r="O18" s="261"/>
      <c r="P18" s="18"/>
      <c r="Q18" s="154" t="s">
        <v>66</v>
      </c>
      <c r="R18" s="18"/>
      <c r="S18" s="18"/>
      <c r="T18" s="18"/>
    </row>
    <row r="19" spans="2:20" ht="18.600000000000001" thickBot="1" x14ac:dyDescent="0.35">
      <c r="B19" s="87"/>
      <c r="C19" s="88"/>
      <c r="D19" s="88"/>
      <c r="E19" s="88"/>
      <c r="F19" s="88"/>
      <c r="G19" s="88"/>
      <c r="H19" s="89"/>
      <c r="J19" s="177"/>
      <c r="K19" s="178"/>
      <c r="L19" s="178"/>
      <c r="M19" s="178"/>
      <c r="N19" s="178"/>
      <c r="O19" s="68"/>
      <c r="P19" s="18"/>
      <c r="Q19" s="155" t="s">
        <v>64</v>
      </c>
      <c r="R19" s="18"/>
      <c r="S19" s="18"/>
      <c r="T19" s="18"/>
    </row>
    <row r="20" spans="2:20" ht="18.600000000000001" thickBot="1" x14ac:dyDescent="0.4">
      <c r="B20" s="90" t="s">
        <v>82</v>
      </c>
      <c r="C20" s="91">
        <f>C7+1</f>
        <v>1</v>
      </c>
      <c r="D20" s="129"/>
      <c r="E20" s="130"/>
      <c r="F20" s="130"/>
      <c r="G20" s="130"/>
      <c r="H20" s="94"/>
      <c r="I20" s="107"/>
      <c r="J20" s="144"/>
      <c r="K20" s="21"/>
      <c r="L20" s="21"/>
      <c r="M20" s="18"/>
      <c r="N20" s="18"/>
      <c r="O20" s="156"/>
      <c r="P20" s="18"/>
      <c r="Q20" s="18"/>
      <c r="R20" s="18"/>
      <c r="S20" s="18"/>
      <c r="T20" s="18"/>
    </row>
    <row r="21" spans="2:20" ht="18" x14ac:dyDescent="0.3">
      <c r="B21" s="96"/>
      <c r="C21" s="97"/>
      <c r="D21" s="97"/>
      <c r="E21" s="97"/>
      <c r="F21" s="97"/>
      <c r="G21" s="97"/>
      <c r="H21" s="98"/>
      <c r="I21" s="107"/>
      <c r="J21" s="157"/>
      <c r="K21" s="48"/>
      <c r="L21" s="47"/>
      <c r="M21" s="18"/>
      <c r="N21" s="18"/>
      <c r="O21" s="145"/>
      <c r="P21" s="18"/>
      <c r="Q21" s="18"/>
      <c r="R21" s="18"/>
      <c r="S21" s="18"/>
      <c r="T21" s="18"/>
    </row>
    <row r="22" spans="2:20" ht="18.600000000000001" thickBot="1" x14ac:dyDescent="0.35">
      <c r="B22" s="96"/>
      <c r="C22" s="97"/>
      <c r="D22" s="97"/>
      <c r="E22" s="97"/>
      <c r="F22" s="97"/>
      <c r="G22" s="97"/>
      <c r="H22" s="98"/>
      <c r="I22" s="107"/>
      <c r="J22" s="219" t="s">
        <v>151</v>
      </c>
      <c r="K22" s="220"/>
      <c r="L22" s="220"/>
      <c r="M22" s="178"/>
      <c r="N22" s="18"/>
      <c r="O22" s="145"/>
      <c r="P22" s="18"/>
      <c r="Q22" s="18"/>
      <c r="R22" s="18"/>
      <c r="S22" s="18"/>
      <c r="T22" s="18"/>
    </row>
    <row r="23" spans="2:20" ht="18" x14ac:dyDescent="0.3">
      <c r="B23" s="99" t="s">
        <v>83</v>
      </c>
      <c r="C23" s="100" t="s">
        <v>84</v>
      </c>
      <c r="D23" s="101" t="s">
        <v>53</v>
      </c>
      <c r="E23" s="100" t="s">
        <v>85</v>
      </c>
      <c r="F23" s="100" t="s">
        <v>86</v>
      </c>
      <c r="G23" s="100" t="s">
        <v>105</v>
      </c>
      <c r="H23" s="102" t="s">
        <v>106</v>
      </c>
      <c r="J23" s="282" t="s">
        <v>0</v>
      </c>
      <c r="K23" s="283"/>
      <c r="L23" s="283"/>
      <c r="M23" s="185" t="s">
        <v>1</v>
      </c>
      <c r="N23" s="128" t="s">
        <v>11</v>
      </c>
      <c r="O23" s="25"/>
      <c r="P23" s="18"/>
      <c r="R23" s="18"/>
      <c r="S23" s="18"/>
      <c r="T23" s="18"/>
    </row>
    <row r="24" spans="2:20" ht="18" x14ac:dyDescent="0.3">
      <c r="B24" s="103" t="s">
        <v>87</v>
      </c>
      <c r="C24" s="34" t="s">
        <v>15</v>
      </c>
      <c r="D24" s="126">
        <v>0</v>
      </c>
      <c r="E24" s="35">
        <f>K6-IF(E28=0,0,IF(C28=Q11,E28,IF(C28=Q12,E28+2,E28+3)))-IF(E27=0,0,IF(C27=Q11,E27,IF(C27=Q12,E27+2,E27+3)))-IF(E26=0,0,IF(C26=Q11,E26,IF(C26=Q12,E26+2,E26+3)))-IF(E25=0,0,IF(C25=Q11,E25,IF(C25=Q12,E25+2,E25+3)))-44-IF(C24=Q12,2,IF(C24=Q13,3,0))-C7*8</f>
        <v>-92</v>
      </c>
      <c r="F24" s="104">
        <f>IF(C24=$Q$13,$K$5-63,IF(C24=$Q$12,$K$5-62,$K$5-60))</f>
        <v>-73</v>
      </c>
      <c r="G24" s="105">
        <f>IF(C9=Q18,2,$C$10)</f>
        <v>1</v>
      </c>
      <c r="H24" s="106">
        <f>E24*F24*D24*G24/1000000</f>
        <v>0</v>
      </c>
      <c r="I24" s="107">
        <f>IF(E24&lt;&gt;0,1,0)</f>
        <v>1</v>
      </c>
      <c r="J24" s="311" t="s">
        <v>41</v>
      </c>
      <c r="K24" s="312"/>
      <c r="L24" s="312"/>
      <c r="M24" s="186" t="s">
        <v>162</v>
      </c>
      <c r="N24" s="193">
        <f>CEILING(IF(OR(C9=Q16,C9=Q17),0.5*C10,IF(C9=Q18,1,C10)),1)</f>
        <v>1</v>
      </c>
      <c r="O24" s="25"/>
      <c r="P24" s="18"/>
      <c r="R24" s="18"/>
      <c r="S24" s="18"/>
      <c r="T24" s="18"/>
    </row>
    <row r="25" spans="2:20" ht="18" x14ac:dyDescent="0.3">
      <c r="B25" s="103" t="s">
        <v>88</v>
      </c>
      <c r="C25" s="34" t="s">
        <v>13</v>
      </c>
      <c r="D25" s="126">
        <v>0</v>
      </c>
      <c r="E25" s="36">
        <v>0</v>
      </c>
      <c r="F25" s="104">
        <f>IF(C25=$Q$13,$K$5-63,IF(C25=$Q$12,$K$5-62,$K$5-60))</f>
        <v>-70</v>
      </c>
      <c r="G25" s="105">
        <f>IF(E25=0,0,IF($C$9=$Q$18,2,$C$10))</f>
        <v>0</v>
      </c>
      <c r="H25" s="106">
        <f t="shared" ref="H25:H28" si="1">E25*F25*D25*G25/1000000</f>
        <v>0</v>
      </c>
      <c r="I25" s="107">
        <f>IF(E25&lt;&gt;0,1,0)</f>
        <v>0</v>
      </c>
      <c r="J25" s="245" t="s">
        <v>199</v>
      </c>
      <c r="K25" s="246"/>
      <c r="L25" s="246"/>
      <c r="M25" s="183" t="s">
        <v>163</v>
      </c>
      <c r="N25" s="193">
        <f>M11*2+M12*2+M13*2</f>
        <v>0</v>
      </c>
      <c r="O25" s="25"/>
      <c r="P25" s="18"/>
      <c r="R25" s="18"/>
      <c r="S25" s="18"/>
      <c r="T25" s="18"/>
    </row>
    <row r="26" spans="2:20" ht="18" x14ac:dyDescent="0.3">
      <c r="B26" s="103" t="s">
        <v>89</v>
      </c>
      <c r="C26" s="34" t="s">
        <v>13</v>
      </c>
      <c r="D26" s="126">
        <v>0</v>
      </c>
      <c r="E26" s="36">
        <v>0</v>
      </c>
      <c r="F26" s="104">
        <f>IF(C26=$Q$13,$K$5-63,IF(C26=$Q$12,$K$5-62,$K$5-60))</f>
        <v>-70</v>
      </c>
      <c r="G26" s="105">
        <f>IF(E26=0,0,IF($C$9=$Q$18,2,$C$10))</f>
        <v>0</v>
      </c>
      <c r="H26" s="106">
        <f t="shared" si="1"/>
        <v>0</v>
      </c>
      <c r="I26" s="107">
        <f>IF(E26&lt;&gt;0,1,0)</f>
        <v>0</v>
      </c>
      <c r="J26" s="311" t="s">
        <v>56</v>
      </c>
      <c r="K26" s="312"/>
      <c r="L26" s="312"/>
      <c r="M26" s="182" t="s">
        <v>164</v>
      </c>
      <c r="N26" s="194">
        <f>ROUNDUP((IF(C24=Q12,(E24+F24)*2*G24,0)+IF(C25=Q12,(E25+F25)*2*G25,0)+IF(C26=Q12,(E26+F26)*2*G26,0)+IF(C27=Q12,(E27+F27)*2*G27,0)+IF(C28=Q12,(E28+F28)*2*G28,0))/1000,0)</f>
        <v>0</v>
      </c>
      <c r="O26" s="25"/>
      <c r="P26" s="18"/>
      <c r="R26" s="18"/>
      <c r="S26" s="18"/>
      <c r="T26" s="18"/>
    </row>
    <row r="27" spans="2:20" ht="18" x14ac:dyDescent="0.3">
      <c r="B27" s="103" t="s">
        <v>90</v>
      </c>
      <c r="C27" s="34" t="s">
        <v>13</v>
      </c>
      <c r="D27" s="126">
        <v>0</v>
      </c>
      <c r="E27" s="36">
        <v>0</v>
      </c>
      <c r="F27" s="104">
        <f>IF(C27=$Q$13,$K$5-63,IF(C27=$Q$12,$K$5-62,$K$5-60))</f>
        <v>-70</v>
      </c>
      <c r="G27" s="105">
        <f>IF(E27=0,0,IF($C$9=$Q$18,2,$C$10))</f>
        <v>0</v>
      </c>
      <c r="H27" s="106">
        <f t="shared" si="1"/>
        <v>0</v>
      </c>
      <c r="I27" s="107">
        <f>IF(E27&lt;&gt;0,1,0)</f>
        <v>0</v>
      </c>
      <c r="J27" s="313" t="s">
        <v>57</v>
      </c>
      <c r="K27" s="314"/>
      <c r="L27" s="314"/>
      <c r="M27" s="182" t="s">
        <v>165</v>
      </c>
      <c r="N27" s="194">
        <f>ROUNDUP((IF(C24=Q13,(E24+F24)*2*G24,0)+IF(C25=Q13,(E25+F25)*2*G25,0)+IF(C26=Q13,(E26+F26)*2*G26,0)+IF(C27=Q13,(E27+F27)*2*G27,0)+IF(C28=Q13,(E28+F28)*2*G28,0))/1000,0)</f>
        <v>-1</v>
      </c>
      <c r="O27" s="25"/>
      <c r="P27" s="18"/>
      <c r="R27" s="18"/>
      <c r="S27" s="18"/>
      <c r="T27" s="18"/>
    </row>
    <row r="28" spans="2:20" ht="18.600000000000001" thickBot="1" x14ac:dyDescent="0.35">
      <c r="B28" s="111" t="s">
        <v>91</v>
      </c>
      <c r="C28" s="34" t="s">
        <v>13</v>
      </c>
      <c r="D28" s="126">
        <v>0</v>
      </c>
      <c r="E28" s="36">
        <v>0</v>
      </c>
      <c r="F28" s="104">
        <f>IF(C28=$Q$13,$K$5-63,IF(C28=$Q$12,$K$5-62,$K$5-60))</f>
        <v>-70</v>
      </c>
      <c r="G28" s="105">
        <f>IF(E28=0,0,IF($C$9=$Q$18,2,$C$10))</f>
        <v>0</v>
      </c>
      <c r="H28" s="106">
        <f t="shared" si="1"/>
        <v>0</v>
      </c>
      <c r="I28" s="107">
        <f>IF(E28&lt;&gt;0,1,0)</f>
        <v>0</v>
      </c>
      <c r="J28" s="311" t="s">
        <v>55</v>
      </c>
      <c r="K28" s="312"/>
      <c r="L28" s="312"/>
      <c r="M28" s="182" t="s">
        <v>166</v>
      </c>
      <c r="N28" s="193">
        <f>IF(C11=Q38,N25,0)</f>
        <v>0</v>
      </c>
      <c r="O28" s="25"/>
      <c r="P28" s="18"/>
      <c r="Q28" s="18"/>
      <c r="R28" s="18"/>
      <c r="S28" s="18"/>
      <c r="T28" s="18"/>
    </row>
    <row r="29" spans="2:20" ht="18.600000000000001" thickBot="1" x14ac:dyDescent="0.35">
      <c r="B29" s="96"/>
      <c r="C29" s="97"/>
      <c r="D29" s="97"/>
      <c r="E29" s="264" t="s">
        <v>54</v>
      </c>
      <c r="F29" s="264"/>
      <c r="G29" s="265"/>
      <c r="H29" s="112">
        <f>SUM(H24:H28)</f>
        <v>0</v>
      </c>
      <c r="J29" s="245" t="s">
        <v>131</v>
      </c>
      <c r="K29" s="246"/>
      <c r="L29" s="246"/>
      <c r="M29" s="181" t="s">
        <v>167</v>
      </c>
      <c r="N29" s="195">
        <f>IF(C11=Q39,N25,0)</f>
        <v>0</v>
      </c>
      <c r="O29" s="25"/>
      <c r="P29" s="18"/>
      <c r="Q29" s="18"/>
      <c r="R29" s="18"/>
      <c r="S29" s="18"/>
      <c r="T29" s="18"/>
    </row>
    <row r="30" spans="2:20" ht="18" x14ac:dyDescent="0.3">
      <c r="B30" s="96"/>
      <c r="C30" s="336" t="str">
        <f>IF((SUM(I24:I28)/C20)&lt;&gt;1,Q54,Q55)</f>
        <v>Верно внесены высоты вставок</v>
      </c>
      <c r="D30" s="337"/>
      <c r="E30" s="93">
        <f>IF(C30=Q55,1,0)</f>
        <v>1</v>
      </c>
      <c r="F30" s="93"/>
      <c r="G30" s="93"/>
      <c r="H30" s="98"/>
      <c r="J30" s="309" t="s">
        <v>51</v>
      </c>
      <c r="K30" s="310"/>
      <c r="L30" s="310"/>
      <c r="M30" s="183" t="s">
        <v>168</v>
      </c>
      <c r="N30" s="196">
        <f>IF(C11=Q41,ROUNDUP(L10*M10/1000,0),0)</f>
        <v>0</v>
      </c>
      <c r="O30" s="25"/>
      <c r="P30" s="18"/>
      <c r="Q30" s="18"/>
      <c r="R30" s="18"/>
      <c r="S30" s="18"/>
      <c r="T30" s="18"/>
    </row>
    <row r="31" spans="2:20" ht="18" x14ac:dyDescent="0.3">
      <c r="B31" s="96"/>
      <c r="C31" s="97"/>
      <c r="D31" s="97"/>
      <c r="E31" s="97"/>
      <c r="F31" s="97"/>
      <c r="G31" s="97"/>
      <c r="H31" s="98"/>
      <c r="J31" s="309" t="s">
        <v>107</v>
      </c>
      <c r="K31" s="310"/>
      <c r="L31" s="310"/>
      <c r="M31" s="183" t="s">
        <v>169</v>
      </c>
      <c r="N31" s="196">
        <f>IF(C11=Q40,ROUNDUP(L10*M10/1000,0),0)</f>
        <v>0</v>
      </c>
      <c r="O31" s="25"/>
      <c r="P31" s="18"/>
      <c r="Q31" s="67">
        <v>0</v>
      </c>
      <c r="R31" s="18"/>
      <c r="S31" s="18"/>
      <c r="T31" s="18"/>
    </row>
    <row r="32" spans="2:20" ht="18.600000000000001" thickBot="1" x14ac:dyDescent="0.35">
      <c r="B32" s="96"/>
      <c r="C32" s="115"/>
      <c r="D32" s="115"/>
      <c r="E32" s="116"/>
      <c r="F32" s="116"/>
      <c r="G32" s="116"/>
      <c r="H32" s="98"/>
      <c r="J32" s="328" t="s">
        <v>124</v>
      </c>
      <c r="K32" s="329"/>
      <c r="L32" s="329"/>
      <c r="M32" s="162" t="s">
        <v>170</v>
      </c>
      <c r="N32" s="197">
        <f>IF(N31&gt;0,M10*2,0)</f>
        <v>0</v>
      </c>
      <c r="O32" s="25"/>
      <c r="P32" s="18"/>
      <c r="Q32" s="67">
        <v>1</v>
      </c>
      <c r="R32" s="18"/>
      <c r="S32" s="18"/>
      <c r="T32" s="18"/>
    </row>
    <row r="33" spans="2:20" ht="18" x14ac:dyDescent="0.3">
      <c r="B33" s="96"/>
      <c r="C33" s="97"/>
      <c r="D33" s="97"/>
      <c r="E33" s="97"/>
      <c r="F33" s="97"/>
      <c r="G33" s="97"/>
      <c r="H33" s="25"/>
      <c r="J33" s="141"/>
      <c r="K33" s="132"/>
      <c r="L33" s="285"/>
      <c r="M33" s="285"/>
      <c r="N33" s="285"/>
      <c r="O33" s="25"/>
      <c r="P33" s="18"/>
      <c r="Q33" s="67">
        <v>2</v>
      </c>
      <c r="R33" s="18"/>
      <c r="S33" s="18"/>
      <c r="T33" s="18"/>
    </row>
    <row r="34" spans="2:20" ht="18" x14ac:dyDescent="0.3">
      <c r="B34" s="96"/>
      <c r="C34" s="281" t="str">
        <f>IF(AND(SUM(I24:I28)/C20=1,E28=0,C20&lt;&gt;1),Q58,Q59)</f>
        <v xml:space="preserve"> </v>
      </c>
      <c r="D34" s="281"/>
      <c r="E34" s="116"/>
      <c r="F34" s="116"/>
      <c r="G34" s="116"/>
      <c r="H34" s="25"/>
      <c r="J34" s="141"/>
      <c r="K34" s="132"/>
      <c r="L34" s="18"/>
      <c r="M34" s="18"/>
      <c r="N34" s="18"/>
      <c r="O34" s="25"/>
      <c r="P34" s="18"/>
      <c r="Q34" s="67">
        <v>3</v>
      </c>
      <c r="R34" s="18"/>
      <c r="S34" s="18"/>
      <c r="T34" s="18"/>
    </row>
    <row r="35" spans="2:20" ht="18" x14ac:dyDescent="0.3">
      <c r="B35" s="96"/>
      <c r="C35" s="97"/>
      <c r="D35" s="97"/>
      <c r="E35" s="97"/>
      <c r="F35" s="97"/>
      <c r="G35" s="97"/>
      <c r="H35" s="25"/>
      <c r="J35" s="141"/>
      <c r="K35" s="132"/>
      <c r="L35" s="48"/>
      <c r="M35" s="48"/>
      <c r="N35" s="133"/>
      <c r="O35" s="109"/>
      <c r="P35" s="18"/>
      <c r="Q35" s="67">
        <v>4</v>
      </c>
      <c r="R35" s="18"/>
      <c r="S35" s="18"/>
      <c r="T35" s="18"/>
    </row>
    <row r="36" spans="2:20" ht="18" x14ac:dyDescent="0.3">
      <c r="B36" s="96"/>
      <c r="C36" s="97"/>
      <c r="D36" s="97"/>
      <c r="E36" s="97"/>
      <c r="F36" s="97"/>
      <c r="G36" s="97"/>
      <c r="H36" s="25"/>
      <c r="J36" s="141"/>
      <c r="K36" s="18"/>
      <c r="L36" s="18"/>
      <c r="M36" s="18"/>
      <c r="N36" s="18"/>
      <c r="O36" s="25"/>
      <c r="P36" s="18"/>
      <c r="Q36" s="18"/>
      <c r="R36" s="18"/>
      <c r="S36" s="18"/>
      <c r="T36" s="18"/>
    </row>
    <row r="37" spans="2:20" ht="18" x14ac:dyDescent="0.35">
      <c r="B37" s="117"/>
      <c r="C37" s="118"/>
      <c r="D37" s="93"/>
      <c r="E37" s="93"/>
      <c r="F37" s="93"/>
      <c r="G37" s="93"/>
      <c r="H37" s="25"/>
      <c r="J37" s="141"/>
      <c r="K37" s="18"/>
      <c r="L37" s="18"/>
      <c r="M37" s="18"/>
      <c r="N37" s="18"/>
      <c r="O37" s="25"/>
      <c r="P37" s="18"/>
      <c r="Q37" s="18"/>
      <c r="R37" s="18"/>
      <c r="S37" s="18"/>
      <c r="T37" s="18"/>
    </row>
    <row r="38" spans="2:20" x14ac:dyDescent="0.3">
      <c r="B38" s="26"/>
      <c r="C38" s="19"/>
      <c r="D38" s="19"/>
      <c r="E38" s="19"/>
      <c r="F38" s="19"/>
      <c r="G38" s="19"/>
      <c r="H38" s="27"/>
      <c r="J38" s="141"/>
      <c r="K38" s="18"/>
      <c r="L38" s="18"/>
      <c r="M38" s="18"/>
      <c r="N38" s="18"/>
      <c r="O38" s="25"/>
      <c r="P38" s="18"/>
      <c r="Q38" s="12" t="s">
        <v>55</v>
      </c>
      <c r="R38" s="18"/>
      <c r="S38" s="18"/>
      <c r="T38" s="18"/>
    </row>
    <row r="39" spans="2:20" ht="18" x14ac:dyDescent="0.35">
      <c r="B39" s="117"/>
      <c r="C39" s="118"/>
      <c r="D39" s="93"/>
      <c r="E39" s="93"/>
      <c r="F39" s="93"/>
      <c r="G39" s="93"/>
      <c r="H39" s="94"/>
      <c r="J39" s="141"/>
      <c r="K39" s="18"/>
      <c r="L39" s="18"/>
      <c r="M39" s="18"/>
      <c r="N39" s="18"/>
      <c r="O39" s="25"/>
      <c r="P39" s="18"/>
      <c r="Q39" s="114" t="s">
        <v>120</v>
      </c>
      <c r="R39" s="18"/>
      <c r="S39" s="18"/>
      <c r="T39" s="18"/>
    </row>
    <row r="40" spans="2:20" ht="18" x14ac:dyDescent="0.35">
      <c r="B40" s="117"/>
      <c r="C40" s="118"/>
      <c r="D40" s="93"/>
      <c r="E40" s="93"/>
      <c r="F40" s="93"/>
      <c r="G40" s="93"/>
      <c r="H40" s="94"/>
      <c r="J40" s="141"/>
      <c r="K40" s="132"/>
      <c r="L40" s="48"/>
      <c r="M40" s="48"/>
      <c r="N40" s="133"/>
      <c r="O40" s="109"/>
      <c r="P40" s="18"/>
      <c r="Q40" s="114" t="s">
        <v>107</v>
      </c>
      <c r="R40" s="18"/>
      <c r="S40" s="18"/>
      <c r="T40" s="18"/>
    </row>
    <row r="41" spans="2:20" ht="18" x14ac:dyDescent="0.35">
      <c r="B41" s="117"/>
      <c r="C41" s="118"/>
      <c r="D41" s="93"/>
      <c r="E41" s="93"/>
      <c r="F41" s="93"/>
      <c r="G41" s="93"/>
      <c r="H41" s="94"/>
      <c r="J41" s="141"/>
      <c r="K41" s="132"/>
      <c r="L41" s="48"/>
      <c r="M41" s="48"/>
      <c r="N41" s="133"/>
      <c r="O41" s="109"/>
      <c r="P41" s="18"/>
      <c r="Q41" s="12" t="s">
        <v>51</v>
      </c>
      <c r="R41" s="18"/>
      <c r="S41" s="18"/>
      <c r="T41" s="18"/>
    </row>
    <row r="42" spans="2:20" ht="18.600000000000001" thickBot="1" x14ac:dyDescent="0.4">
      <c r="B42" s="122"/>
      <c r="C42" s="123"/>
      <c r="D42" s="124"/>
      <c r="E42" s="124"/>
      <c r="F42" s="124"/>
      <c r="G42" s="124"/>
      <c r="H42" s="125"/>
      <c r="J42" s="146"/>
      <c r="K42" s="158"/>
      <c r="L42" s="289"/>
      <c r="M42" s="289"/>
      <c r="N42" s="289"/>
      <c r="O42" s="290"/>
      <c r="P42" s="18"/>
      <c r="Q42" s="18"/>
      <c r="R42" s="18"/>
      <c r="S42" s="18"/>
      <c r="T42" s="18"/>
    </row>
    <row r="43" spans="2:20" x14ac:dyDescent="0.3">
      <c r="J43" s="14"/>
      <c r="K43" s="14"/>
      <c r="L43" s="14"/>
      <c r="M43" s="14"/>
      <c r="N43" s="14"/>
      <c r="O43" s="108"/>
      <c r="P43" s="18"/>
      <c r="Q43" s="18"/>
      <c r="R43" s="18"/>
      <c r="S43" s="18"/>
      <c r="T43" s="18"/>
    </row>
    <row r="44" spans="2:20" x14ac:dyDescent="0.3">
      <c r="P44" s="18"/>
      <c r="Q44" s="18"/>
      <c r="R44" s="18"/>
      <c r="S44" s="18"/>
      <c r="T44" s="18"/>
    </row>
    <row r="45" spans="2:20" x14ac:dyDescent="0.3">
      <c r="P45" s="18"/>
      <c r="Q45" s="18"/>
      <c r="R45" s="18"/>
      <c r="S45" s="18"/>
      <c r="T45" s="18"/>
    </row>
    <row r="46" spans="2:20" x14ac:dyDescent="0.3">
      <c r="P46" s="18"/>
      <c r="Q46" s="75" t="s">
        <v>150</v>
      </c>
      <c r="R46" s="18"/>
      <c r="S46" s="18"/>
      <c r="T46" s="18"/>
    </row>
    <row r="47" spans="2:20" x14ac:dyDescent="0.3">
      <c r="Q47" s="75" t="s">
        <v>145</v>
      </c>
      <c r="R47" s="18"/>
      <c r="S47" s="18"/>
      <c r="T47" s="18"/>
    </row>
    <row r="48" spans="2:20" ht="15.6" x14ac:dyDescent="0.3">
      <c r="B48" s="159"/>
      <c r="C48" s="159"/>
      <c r="D48" s="159"/>
      <c r="E48" s="159"/>
      <c r="F48" s="159"/>
      <c r="G48" s="159"/>
      <c r="H48" s="159"/>
      <c r="R48" s="18"/>
      <c r="S48" s="18"/>
      <c r="T48" s="18"/>
    </row>
    <row r="49" spans="2:20" ht="15" customHeight="1" x14ac:dyDescent="0.3">
      <c r="B49" s="160"/>
      <c r="C49" s="160"/>
      <c r="D49" s="160"/>
      <c r="E49" s="160"/>
      <c r="F49" s="160"/>
      <c r="G49" s="160"/>
      <c r="H49" s="160"/>
      <c r="R49" s="18"/>
      <c r="S49" s="18"/>
      <c r="T49" s="18"/>
    </row>
    <row r="50" spans="2:20" ht="15" customHeight="1" x14ac:dyDescent="0.3">
      <c r="B50" s="160"/>
      <c r="C50" s="160"/>
      <c r="D50" s="160"/>
      <c r="E50" s="160"/>
      <c r="F50" s="160"/>
      <c r="G50" s="160"/>
      <c r="H50" s="160"/>
      <c r="Q50" s="12" t="s">
        <v>148</v>
      </c>
      <c r="R50" s="18"/>
      <c r="S50" s="18"/>
      <c r="T50" s="18"/>
    </row>
    <row r="51" spans="2:20" ht="15" customHeight="1" x14ac:dyDescent="0.3">
      <c r="B51" s="160"/>
      <c r="C51" s="160"/>
      <c r="D51" s="160"/>
      <c r="E51" s="160"/>
      <c r="F51" s="160"/>
      <c r="G51" s="160"/>
      <c r="H51" s="160"/>
      <c r="Q51" s="75" t="s">
        <v>145</v>
      </c>
      <c r="R51" s="18"/>
      <c r="S51" s="18"/>
      <c r="T51" s="18"/>
    </row>
    <row r="52" spans="2:20" x14ac:dyDescent="0.3">
      <c r="P52" s="12" t="s">
        <v>205</v>
      </c>
      <c r="Q52" s="18"/>
      <c r="R52" s="18"/>
      <c r="S52" s="18"/>
      <c r="T52" s="18"/>
    </row>
    <row r="53" spans="2:20" x14ac:dyDescent="0.3">
      <c r="P53" s="12" t="s">
        <v>111</v>
      </c>
      <c r="Q53" s="18"/>
      <c r="R53" s="18"/>
      <c r="S53" s="18"/>
      <c r="T53" s="18"/>
    </row>
    <row r="54" spans="2:20" ht="18" x14ac:dyDescent="0.3">
      <c r="P54" s="12" t="s">
        <v>206</v>
      </c>
      <c r="Q54" s="110" t="s">
        <v>94</v>
      </c>
      <c r="R54" s="18"/>
      <c r="S54" s="18"/>
      <c r="T54" s="18"/>
    </row>
    <row r="55" spans="2:20" ht="18" x14ac:dyDescent="0.3">
      <c r="P55" s="12" t="s">
        <v>112</v>
      </c>
      <c r="Q55" s="110" t="s">
        <v>95</v>
      </c>
      <c r="R55" s="18"/>
      <c r="S55" s="18"/>
      <c r="T55" s="18"/>
    </row>
    <row r="56" spans="2:20" x14ac:dyDescent="0.3">
      <c r="P56" s="12" t="s">
        <v>34</v>
      </c>
      <c r="Q56" s="18"/>
      <c r="R56" s="18"/>
      <c r="S56" s="18"/>
      <c r="T56" s="18"/>
    </row>
    <row r="57" spans="2:20" x14ac:dyDescent="0.3">
      <c r="P57" s="12" t="s">
        <v>35</v>
      </c>
      <c r="Q57" s="18"/>
      <c r="R57" s="18"/>
      <c r="S57" s="18"/>
      <c r="T57" s="18"/>
    </row>
    <row r="58" spans="2:20" ht="18" x14ac:dyDescent="0.35">
      <c r="P58" s="12" t="s">
        <v>207</v>
      </c>
      <c r="Q58" s="121" t="s">
        <v>104</v>
      </c>
      <c r="R58" s="18"/>
      <c r="S58" s="18"/>
      <c r="T58" s="18"/>
    </row>
    <row r="59" spans="2:20" x14ac:dyDescent="0.3">
      <c r="P59" s="12" t="s">
        <v>208</v>
      </c>
      <c r="Q59" s="12" t="s">
        <v>68</v>
      </c>
      <c r="R59" s="18"/>
      <c r="S59" s="18"/>
      <c r="T59" s="18"/>
    </row>
    <row r="60" spans="2:20" x14ac:dyDescent="0.3">
      <c r="Q60" s="18"/>
      <c r="R60" s="18"/>
      <c r="S60" s="18"/>
      <c r="T60" s="18"/>
    </row>
    <row r="61" spans="2:20" x14ac:dyDescent="0.3">
      <c r="Q61" s="18"/>
      <c r="R61" s="18"/>
      <c r="S61" s="18"/>
      <c r="T61" s="18"/>
    </row>
    <row r="62" spans="2:20" x14ac:dyDescent="0.3">
      <c r="Q62" s="18"/>
      <c r="R62" s="18"/>
      <c r="S62" s="18"/>
      <c r="T62" s="18"/>
    </row>
  </sheetData>
  <sheetProtection algorithmName="SHA-512" hashValue="44+eUFj6U2l/nLAUVYG0lFcL3iYoO6BSnDIY51hNBIOrZ5/efWzIOMnJ+9zQJaT0PMLoDY7g8KFPUdUoYkhy1A==" saltValue="7zICPbyq64OpUhBOdKSQ0A==" spinCount="100000" sheet="1" selectLockedCells="1"/>
  <mergeCells count="35">
    <mergeCell ref="J3:K3"/>
    <mergeCell ref="D7:H7"/>
    <mergeCell ref="C34:D34"/>
    <mergeCell ref="J23:L23"/>
    <mergeCell ref="J24:L24"/>
    <mergeCell ref="J25:L25"/>
    <mergeCell ref="L33:N33"/>
    <mergeCell ref="J28:L28"/>
    <mergeCell ref="J26:L26"/>
    <mergeCell ref="C30:D30"/>
    <mergeCell ref="J29:L29"/>
    <mergeCell ref="J30:L30"/>
    <mergeCell ref="B3:C3"/>
    <mergeCell ref="D5:H5"/>
    <mergeCell ref="L42:O42"/>
    <mergeCell ref="J2:O2"/>
    <mergeCell ref="B1:O1"/>
    <mergeCell ref="J31:L31"/>
    <mergeCell ref="J32:L32"/>
    <mergeCell ref="J27:L27"/>
    <mergeCell ref="E29:G29"/>
    <mergeCell ref="J22:L22"/>
    <mergeCell ref="D11:H11"/>
    <mergeCell ref="D9:H9"/>
    <mergeCell ref="D10:H10"/>
    <mergeCell ref="J18:O18"/>
    <mergeCell ref="B14:H16"/>
    <mergeCell ref="B13:H13"/>
    <mergeCell ref="B2:H2"/>
    <mergeCell ref="D8:H8"/>
    <mergeCell ref="O14:O15"/>
    <mergeCell ref="N14:N15"/>
    <mergeCell ref="J8:M8"/>
    <mergeCell ref="D6:H6"/>
    <mergeCell ref="D4:H4"/>
  </mergeCells>
  <conditionalFormatting sqref="K21:L21 K5:K6 L16:N17 L15:M15 N24:N25 N28">
    <cfRule type="expression" dxfId="55" priority="9">
      <formula>$C$5=0</formula>
    </cfRule>
  </conditionalFormatting>
  <conditionalFormatting sqref="L10:N14">
    <cfRule type="expression" dxfId="54" priority="44">
      <formula>$C$5=0</formula>
    </cfRule>
  </conditionalFormatting>
  <conditionalFormatting sqref="D5:H6">
    <cfRule type="expression" dxfId="53" priority="11">
      <formula>$C5=0</formula>
    </cfRule>
  </conditionalFormatting>
  <conditionalFormatting sqref="O10">
    <cfRule type="expression" dxfId="52" priority="38">
      <formula>$C$5=0</formula>
    </cfRule>
  </conditionalFormatting>
  <conditionalFormatting sqref="O11:O13">
    <cfRule type="expression" dxfId="51" priority="35">
      <formula>$C$5=0</formula>
    </cfRule>
  </conditionalFormatting>
  <conditionalFormatting sqref="O14">
    <cfRule type="expression" dxfId="50" priority="34">
      <formula>$C$5=0</formula>
    </cfRule>
  </conditionalFormatting>
  <conditionalFormatting sqref="O16:O17">
    <cfRule type="expression" dxfId="49" priority="33">
      <formula>$C$5=0</formula>
    </cfRule>
  </conditionalFormatting>
  <conditionalFormatting sqref="D5:H5">
    <cfRule type="cellIs" dxfId="48" priority="30" operator="equal">
      <formula>$Q$46</formula>
    </cfRule>
  </conditionalFormatting>
  <conditionalFormatting sqref="D11:H11">
    <cfRule type="expression" dxfId="47" priority="18">
      <formula>$C11=0</formula>
    </cfRule>
  </conditionalFormatting>
  <conditionalFormatting sqref="C11">
    <cfRule type="cellIs" dxfId="46" priority="17" operator="greaterThan">
      <formula>0</formula>
    </cfRule>
  </conditionalFormatting>
  <conditionalFormatting sqref="D11:H11">
    <cfRule type="expression" dxfId="45" priority="16">
      <formula>$C$4=0</formula>
    </cfRule>
  </conditionalFormatting>
  <conditionalFormatting sqref="K6">
    <cfRule type="expression" dxfId="44" priority="46">
      <formula>$K$6&gt;3200</formula>
    </cfRule>
  </conditionalFormatting>
  <conditionalFormatting sqref="K5">
    <cfRule type="expression" dxfId="43" priority="10">
      <formula>OR($K$5&lt;200,$K$5&gt;1200)</formula>
    </cfRule>
  </conditionalFormatting>
  <conditionalFormatting sqref="N26:N27">
    <cfRule type="expression" dxfId="42" priority="3">
      <formula>$C$5=0</formula>
    </cfRule>
  </conditionalFormatting>
  <conditionalFormatting sqref="D7 D10:D11 E24 F24:H28 H29 K5:K6 N29:N32">
    <cfRule type="expression" dxfId="41" priority="1">
      <formula>$C$5=0</formula>
    </cfRule>
  </conditionalFormatting>
  <conditionalFormatting sqref="C30:D30">
    <cfRule type="expression" dxfId="40" priority="190">
      <formula>$C$30=$Q$54</formula>
    </cfRule>
  </conditionalFormatting>
  <conditionalFormatting sqref="C34">
    <cfRule type="expression" dxfId="39" priority="191">
      <formula>$C$34=$Q$58</formula>
    </cfRule>
  </conditionalFormatting>
  <conditionalFormatting sqref="C30">
    <cfRule type="expression" dxfId="38" priority="192">
      <formula>$C$30=$Q$55</formula>
    </cfRule>
  </conditionalFormatting>
  <conditionalFormatting sqref="D6:H6">
    <cfRule type="expression" dxfId="37" priority="193">
      <formula>$D$6=$Q$50</formula>
    </cfRule>
  </conditionalFormatting>
  <conditionalFormatting sqref="C10">
    <cfRule type="expression" dxfId="36" priority="194">
      <formula>$C$9=$Q$18</formula>
    </cfRule>
  </conditionalFormatting>
  <dataValidations count="6">
    <dataValidation type="list" allowBlank="1" showInputMessage="1" showErrorMessage="1" sqref="C9">
      <formula1>$Q$16:$Q$19</formula1>
    </dataValidation>
    <dataValidation type="whole" allowBlank="1" showInputMessage="1" showErrorMessage="1" sqref="C10">
      <formula1>1</formula1>
      <formula2>10</formula2>
    </dataValidation>
    <dataValidation type="list" allowBlank="1" showInputMessage="1" showErrorMessage="1" sqref="C7">
      <formula1>$Q$31:$Q$35</formula1>
    </dataValidation>
    <dataValidation type="list" allowBlank="1" showInputMessage="1" showErrorMessage="1" sqref="C11">
      <formula1>$Q$38:$Q$41</formula1>
    </dataValidation>
    <dataValidation type="list" allowBlank="1" showInputMessage="1" showErrorMessage="1" sqref="C24:C28">
      <formula1>$Q$11:$Q$13</formula1>
    </dataValidation>
    <dataValidation type="list" allowBlank="1" showInputMessage="1" showErrorMessage="1" sqref="C8">
      <formula1>$P$52:$P$59</formula1>
    </dataValidation>
  </dataValidation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37" orientation="landscape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0" id="{EF76963A-3665-484E-89CB-BD520C342830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E30:G30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ОГЛАВЛЕНИЕ</vt:lpstr>
      <vt:lpstr>Подвесная</vt:lpstr>
      <vt:lpstr>Складная</vt:lpstr>
      <vt:lpstr>Распашная</vt:lpstr>
      <vt:lpstr>Стационарная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Pisarev</dc:creator>
  <cp:lastModifiedBy>Прун Алина Александровна</cp:lastModifiedBy>
  <cp:lastPrinted>2015-02-14T09:33:23Z</cp:lastPrinted>
  <dcterms:created xsi:type="dcterms:W3CDTF">2015-02-11T05:31:15Z</dcterms:created>
  <dcterms:modified xsi:type="dcterms:W3CDTF">2021-08-21T12:11:02Z</dcterms:modified>
</cp:coreProperties>
</file>