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8205" tabRatio="874"/>
  </bookViews>
  <sheets>
    <sheet name="Contents" sheetId="6" r:id="rId1"/>
    <sheet name="Visible Top Track" sheetId="1" r:id="rId2"/>
    <sheet name="Hidden Top Track, Cabinet" sheetId="4" r:id="rId3"/>
    <sheet name="Hidden Top Track, Door Opening" sheetId="5" r:id="rId4"/>
  </sheets>
  <definedNames>
    <definedName name="no">'Hidden Top Track, Cabinet'!$E$16</definedName>
    <definedName name="нет">'Hidden Top Track, Cabinet'!$E$16</definedName>
    <definedName name="_xlnm.Print_Area" localSheetId="2">'Hidden Top Track, Cabinet'!$B$2:$K$40</definedName>
    <definedName name="_xlnm.Print_Area" localSheetId="3">'Hidden Top Track, Door Opening'!$B$2:$K$44</definedName>
    <definedName name="_xlnm.Print_Area" localSheetId="1">'Visible Top Track'!$B$3:$K$37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4" l="1"/>
  <c r="J14" i="4"/>
  <c r="M14" i="4"/>
  <c r="J15" i="4"/>
  <c r="M15" i="4"/>
  <c r="K7" i="4"/>
  <c r="J13" i="4" s="1"/>
  <c r="K8" i="5"/>
  <c r="J14" i="5"/>
  <c r="M14" i="5"/>
  <c r="J15" i="5"/>
  <c r="M15" i="5"/>
  <c r="K7" i="5"/>
  <c r="D27" i="5" s="1"/>
  <c r="K12" i="5"/>
  <c r="I12" i="5"/>
  <c r="H12" i="5"/>
  <c r="K12" i="4"/>
  <c r="I12" i="4"/>
  <c r="H12" i="4"/>
  <c r="K7" i="1"/>
  <c r="J31" i="1" s="1"/>
  <c r="K12" i="1"/>
  <c r="I12" i="1"/>
  <c r="H12" i="1"/>
  <c r="J20" i="5"/>
  <c r="J19" i="5"/>
  <c r="J36" i="5"/>
  <c r="J35" i="5"/>
  <c r="H18" i="5"/>
  <c r="G30" i="5"/>
  <c r="F31" i="5"/>
  <c r="G29" i="5"/>
  <c r="F30" i="5"/>
  <c r="G28" i="5"/>
  <c r="F29" i="5"/>
  <c r="G27" i="5"/>
  <c r="F28" i="5"/>
  <c r="C24" i="5"/>
  <c r="E11" i="5"/>
  <c r="E10" i="5"/>
  <c r="J36" i="4"/>
  <c r="J33" i="4"/>
  <c r="J20" i="4"/>
  <c r="J19" i="4"/>
  <c r="F27" i="5"/>
  <c r="J28" i="5"/>
  <c r="E30" i="5"/>
  <c r="M21" i="5"/>
  <c r="J35" i="4"/>
  <c r="J27" i="5"/>
  <c r="K15" i="5"/>
  <c r="J34" i="5"/>
  <c r="J18" i="5"/>
  <c r="C37" i="5"/>
  <c r="C24" i="4"/>
  <c r="C37" i="4"/>
  <c r="G30" i="4"/>
  <c r="G29" i="4"/>
  <c r="G28" i="4"/>
  <c r="F29" i="4"/>
  <c r="G27" i="4"/>
  <c r="F28" i="4"/>
  <c r="E11" i="4"/>
  <c r="E10" i="4"/>
  <c r="J28" i="4"/>
  <c r="E28" i="5"/>
  <c r="M19" i="5"/>
  <c r="E29" i="5"/>
  <c r="M20" i="5"/>
  <c r="E27" i="5"/>
  <c r="E31" i="5"/>
  <c r="M22" i="5"/>
  <c r="F27" i="4"/>
  <c r="J27" i="4"/>
  <c r="F30" i="4"/>
  <c r="F31" i="4"/>
  <c r="J23" i="5"/>
  <c r="F27" i="1"/>
  <c r="C36" i="1"/>
  <c r="E11" i="1"/>
  <c r="G29" i="1"/>
  <c r="G28" i="1"/>
  <c r="G27" i="1"/>
  <c r="G26" i="1"/>
  <c r="J26" i="1"/>
  <c r="J27" i="1"/>
  <c r="J34" i="1"/>
  <c r="K8" i="1"/>
  <c r="J19" i="1"/>
  <c r="F28" i="1"/>
  <c r="F30" i="1"/>
  <c r="F26" i="1"/>
  <c r="F29" i="1"/>
  <c r="K15" i="1"/>
  <c r="K13" i="1"/>
  <c r="K16" i="1"/>
  <c r="K14" i="1"/>
  <c r="K14" i="5"/>
  <c r="J29" i="5"/>
  <c r="J33" i="1"/>
  <c r="J28" i="1"/>
  <c r="E29" i="1"/>
  <c r="M22" i="1"/>
  <c r="E27" i="1"/>
  <c r="M20" i="1"/>
  <c r="E28" i="1"/>
  <c r="M21" i="1"/>
  <c r="E30" i="1"/>
  <c r="M23" i="1"/>
  <c r="E26" i="1"/>
  <c r="J11" i="1"/>
  <c r="H11" i="5"/>
  <c r="J11" i="5"/>
  <c r="H7" i="5"/>
  <c r="J22" i="1"/>
  <c r="H15" i="5"/>
  <c r="H14" i="5"/>
  <c r="H13" i="5"/>
  <c r="J21" i="5"/>
  <c r="J18" i="4"/>
  <c r="H18" i="4"/>
  <c r="B2" i="5"/>
  <c r="K14" i="4"/>
  <c r="K15" i="4"/>
  <c r="J34" i="4"/>
  <c r="J29" i="4"/>
  <c r="E30" i="4"/>
  <c r="M21" i="4"/>
  <c r="E28" i="4"/>
  <c r="E29" i="4"/>
  <c r="M20" i="4"/>
  <c r="E31" i="4"/>
  <c r="M22" i="4"/>
  <c r="E27" i="4"/>
  <c r="J14" i="1"/>
  <c r="J23" i="4"/>
  <c r="M19" i="4"/>
  <c r="J16" i="1"/>
  <c r="M16" i="1"/>
  <c r="M14" i="1"/>
  <c r="J21" i="4"/>
  <c r="J11" i="4"/>
  <c r="J12" i="5"/>
  <c r="J12" i="1"/>
  <c r="K13" i="5"/>
  <c r="K13" i="4"/>
  <c r="J12" i="4"/>
  <c r="J29" i="1"/>
  <c r="J30" i="1" s="1"/>
  <c r="J33" i="5"/>
  <c r="J32" i="1"/>
  <c r="J13" i="5"/>
  <c r="J30" i="5" s="1"/>
  <c r="J31" i="5" s="1"/>
  <c r="J21" i="1"/>
  <c r="J20" i="1"/>
  <c r="J15" i="1"/>
  <c r="M15" i="1"/>
  <c r="G26" i="5" l="1"/>
  <c r="J22" i="5"/>
  <c r="M18" i="5"/>
  <c r="M23" i="5" s="1"/>
  <c r="J32" i="5"/>
  <c r="C33" i="5"/>
  <c r="D33" i="5" s="1"/>
  <c r="C35" i="5"/>
  <c r="M13" i="5"/>
  <c r="M16" i="5" s="1"/>
  <c r="M25" i="5" s="1"/>
  <c r="J30" i="4"/>
  <c r="J31" i="4" s="1"/>
  <c r="M13" i="4"/>
  <c r="M16" i="4" s="1"/>
  <c r="J32" i="4"/>
  <c r="D27" i="4"/>
  <c r="J13" i="1"/>
  <c r="M13" i="1" s="1"/>
  <c r="M17" i="1" s="1"/>
  <c r="D26" i="1"/>
  <c r="F38" i="5" l="1"/>
  <c r="J26" i="5"/>
  <c r="J25" i="5"/>
  <c r="J24" i="5"/>
  <c r="M18" i="4"/>
  <c r="M23" i="4" s="1"/>
  <c r="M25" i="4" s="1"/>
  <c r="J22" i="4"/>
  <c r="G26" i="4"/>
  <c r="M19" i="1"/>
  <c r="M24" i="1" s="1"/>
  <c r="M26" i="1" s="1"/>
  <c r="G25" i="1"/>
  <c r="C33" i="4" l="1"/>
  <c r="D33" i="4" s="1"/>
  <c r="C35" i="4"/>
  <c r="J25" i="4"/>
  <c r="J24" i="4"/>
  <c r="F40" i="4"/>
  <c r="J26" i="4"/>
  <c r="J24" i="1"/>
  <c r="J25" i="1"/>
  <c r="F36" i="1"/>
  <c r="J23" i="1"/>
  <c r="C32" i="1"/>
  <c r="D32" i="1" s="1"/>
  <c r="C34" i="1"/>
</calcChain>
</file>

<file path=xl/sharedStrings.xml><?xml version="1.0" encoding="utf-8"?>
<sst xmlns="http://schemas.openxmlformats.org/spreadsheetml/2006/main" count="370" uniqueCount="116">
  <si>
    <t xml:space="preserve"> </t>
  </si>
  <si>
    <t>I-----____I</t>
  </si>
  <si>
    <t>I-----____-----I</t>
  </si>
  <si>
    <t>I-----____-----____I</t>
  </si>
  <si>
    <t>I-----____  ____-----I</t>
  </si>
  <si>
    <t>I-----____-----____-----I</t>
  </si>
  <si>
    <t>АВ-75</t>
  </si>
  <si>
    <t>CKRU0650</t>
  </si>
  <si>
    <t>CKRU0046</t>
  </si>
  <si>
    <t>CKRU0588</t>
  </si>
  <si>
    <t>CKRU0589</t>
  </si>
  <si>
    <t>CKRU0590</t>
  </si>
  <si>
    <t>Type V</t>
  </si>
  <si>
    <t>ARD02U 1030</t>
  </si>
  <si>
    <t>ARD02U 3050</t>
  </si>
  <si>
    <t>ARD02U 5070</t>
  </si>
  <si>
    <t xml:space="preserve">АМ04 </t>
  </si>
  <si>
    <t>ARL-U</t>
  </si>
  <si>
    <t>ARS01</t>
  </si>
  <si>
    <t>X01</t>
  </si>
  <si>
    <t>AB-53</t>
  </si>
  <si>
    <t>MT/ST 9*5-6P6L</t>
  </si>
  <si>
    <t>PB5*6-3P2L</t>
  </si>
  <si>
    <t>Вес двери</t>
  </si>
  <si>
    <t>AFL-01</t>
  </si>
  <si>
    <t>AFL-03</t>
  </si>
  <si>
    <t>Calculation of the Doors of Aristo Wave System</t>
  </si>
  <si>
    <t>Installation with Visible Top Track</t>
  </si>
  <si>
    <t>Contents</t>
  </si>
  <si>
    <t>Entering Initial Data for the Calculation</t>
  </si>
  <si>
    <t>Calculation Result</t>
  </si>
  <si>
    <t>Door dimensions:</t>
  </si>
  <si>
    <t>Height of the door opening</t>
  </si>
  <si>
    <t>Width of the opening, covered by the doors</t>
  </si>
  <si>
    <t>Position of the doors</t>
  </si>
  <si>
    <t>Number of doors</t>
  </si>
  <si>
    <t>Number of overlaps (1 overlap is 10 mm)</t>
  </si>
  <si>
    <t>Total number of door soft closers (pcs.)</t>
  </si>
  <si>
    <t>Number of dividing rails for one door</t>
  </si>
  <si>
    <t>Dust Protection Gasket</t>
  </si>
  <si>
    <t>Positioner</t>
  </si>
  <si>
    <t>Element for hiding the door holes</t>
  </si>
  <si>
    <t>Universal lock</t>
  </si>
  <si>
    <t>To calculate the size and number of components, enter the data in the table</t>
  </si>
  <si>
    <t>Number of inserts for one door:</t>
  </si>
  <si>
    <t>Height</t>
  </si>
  <si>
    <t>Width</t>
  </si>
  <si>
    <t>Panel</t>
  </si>
  <si>
    <t>Insert 2</t>
  </si>
  <si>
    <t>Insert 3</t>
  </si>
  <si>
    <t>Insert 4</t>
  </si>
  <si>
    <t>Insert 5 (bottom of the door)</t>
  </si>
  <si>
    <t>Insert 1 (automatically calculated)</t>
  </si>
  <si>
    <t>Weight of one door:</t>
  </si>
  <si>
    <t>Profiles:</t>
  </si>
  <si>
    <t>Accessories:</t>
  </si>
  <si>
    <t>Size</t>
  </si>
  <si>
    <t>Amount</t>
  </si>
  <si>
    <t>Code</t>
  </si>
  <si>
    <t>Material</t>
  </si>
  <si>
    <t xml:space="preserve">Rollers Set </t>
  </si>
  <si>
    <t>Double Top Track</t>
  </si>
  <si>
    <t>CKRU0504/0403</t>
  </si>
  <si>
    <t xml:space="preserve">Stile </t>
  </si>
  <si>
    <t>Top Rail</t>
  </si>
  <si>
    <t xml:space="preserve">Bottom Rail </t>
  </si>
  <si>
    <t>Dividing Rail</t>
  </si>
  <si>
    <t>Universal Soft Closer*</t>
  </si>
  <si>
    <t>Bottom Track Positioner</t>
  </si>
  <si>
    <t>Top Track Positioner</t>
  </si>
  <si>
    <t xml:space="preserve">Weather Strip Clip 9*5 mm </t>
  </si>
  <si>
    <t>Weather Strip for the sides of the door</t>
  </si>
  <si>
    <t>RN-04</t>
  </si>
  <si>
    <t>Silicon Gasket U Shape, 4 mm for Dividing Rail</t>
  </si>
  <si>
    <t>Screw 6*30 mm (for Dividing Rails)</t>
  </si>
  <si>
    <t>Hole Cover, Self-adhesive</t>
  </si>
  <si>
    <t>Silicon Gasket U Shape 4 mm</t>
  </si>
  <si>
    <t>Silicon Gasket U Shape 8 mm</t>
  </si>
  <si>
    <t>888A-223</t>
  </si>
  <si>
    <t>888A-321</t>
  </si>
  <si>
    <t>Installation with Hidden Top Track in the Cabinet</t>
  </si>
  <si>
    <r>
      <t xml:space="preserve">Cabinet </t>
    </r>
    <r>
      <rPr>
        <u/>
        <sz val="14"/>
        <color theme="1"/>
        <rFont val="Calibri"/>
        <family val="2"/>
        <charset val="204"/>
        <scheme val="minor"/>
      </rPr>
      <t>inner</t>
    </r>
    <r>
      <rPr>
        <sz val="14"/>
        <color theme="1"/>
        <rFont val="Calibri"/>
        <family val="2"/>
        <scheme val="minor"/>
      </rPr>
      <t xml:space="preserve"> opening height</t>
    </r>
  </si>
  <si>
    <t>The width of the opening, covered by the doors</t>
  </si>
  <si>
    <t>Number of soft closers on the inner doors, pcs. (on the inner brackets)</t>
  </si>
  <si>
    <t>Number of soft closers on the outer doors, pcs. (on the outer brackets)</t>
  </si>
  <si>
    <t>Double Bottom Track</t>
  </si>
  <si>
    <t>Bottom Rail (top+bottom of the door)</t>
  </si>
  <si>
    <t xml:space="preserve">Bracket for Inner Door </t>
  </si>
  <si>
    <t xml:space="preserve">Bracket for Outer Door </t>
  </si>
  <si>
    <t>Plug-in Weather Strip for the groove of the Stiles</t>
  </si>
  <si>
    <t>Universal lock***</t>
  </si>
  <si>
    <t>Screw, 3.9*9.5, Round Head</t>
  </si>
  <si>
    <t>yes</t>
  </si>
  <si>
    <t>no</t>
  </si>
  <si>
    <t>top</t>
  </si>
  <si>
    <t>bottom</t>
  </si>
  <si>
    <t>Weather Strip</t>
  </si>
  <si>
    <t>Using 8mm insert is not possible</t>
  </si>
  <si>
    <t>Chipboard, 10 mm</t>
  </si>
  <si>
    <t>Glass/mirror 4 mm</t>
  </si>
  <si>
    <t>Chipboard, 8 mm</t>
  </si>
  <si>
    <t>Incorrect insertion heights</t>
  </si>
  <si>
    <t>Correct insert heights</t>
  </si>
  <si>
    <t>Indicate the height of Insert 5 (bottom of the door)</t>
  </si>
  <si>
    <t>KHN01</t>
  </si>
  <si>
    <t>Installation with Hidden Top Track in the Door Opening (Built-in)</t>
  </si>
  <si>
    <t>* Door weight calculation does not take the evenness of the floor into account</t>
  </si>
  <si>
    <t>* Along the internal opening of the cabinet, depends on the presence of sidewalls and their thickness</t>
  </si>
  <si>
    <t>** Door weight calculation does not take the evenness of the floor into account</t>
  </si>
  <si>
    <t>(Otherwise the door might move and the lock won't function properly)</t>
  </si>
  <si>
    <t>*** We recommend using the lock together with soft closers in a cabinet with a hidden top track</t>
  </si>
  <si>
    <t>CKRU0690</t>
  </si>
  <si>
    <t>Hole Cover</t>
  </si>
  <si>
    <t>The thickness of the cabinet body parts 16 mm</t>
  </si>
  <si>
    <t>Universal Soft Closer**</t>
  </si>
  <si>
    <t>Recessed Single Bottom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</si>
</sst>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 мм&quot;"/>
    <numFmt numFmtId="165" formatCode="0.0"/>
    <numFmt numFmtId="166" formatCode="#,##0&quot; комп.&quot;"/>
    <numFmt numFmtId="167" formatCode="#,##0&quot; mm&quot;"/>
    <numFmt numFmtId="168" formatCode="#,##0&quot; m&quot;"/>
    <numFmt numFmtId="169" formatCode="#,##0&quot; set.&quot;"/>
    <numFmt numFmtId="170" formatCode="#,##0&quot; pcs.&quot;"/>
    <numFmt numFmtId="171" formatCode="#,##0&quot; mm*&quot;"/>
    <numFmt numFmtId="172" formatCode="#,##0&quot; kg.&quot;"/>
    <numFmt numFmtId="173" formatCode="#,##0&quot; pc.&quot;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4" borderId="17" xfId="0" applyFill="1" applyBorder="1"/>
    <xf numFmtId="0" fontId="0" fillId="4" borderId="19" xfId="0" applyFill="1" applyBorder="1"/>
    <xf numFmtId="0" fontId="0" fillId="4" borderId="31" xfId="0" applyFill="1" applyBorder="1"/>
    <xf numFmtId="0" fontId="0" fillId="4" borderId="0" xfId="0" applyFill="1"/>
    <xf numFmtId="0" fontId="0" fillId="4" borderId="32" xfId="0" applyFill="1" applyBorder="1"/>
    <xf numFmtId="0" fontId="0" fillId="4" borderId="0" xfId="0" applyFill="1" applyBorder="1"/>
    <xf numFmtId="0" fontId="0" fillId="4" borderId="16" xfId="0" applyFill="1" applyBorder="1"/>
    <xf numFmtId="0" fontId="0" fillId="4" borderId="18" xfId="0" applyFill="1" applyBorder="1"/>
    <xf numFmtId="0" fontId="0" fillId="4" borderId="22" xfId="0" applyFill="1" applyBorder="1"/>
    <xf numFmtId="0" fontId="0" fillId="4" borderId="33" xfId="0" applyFill="1" applyBorder="1"/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right" wrapText="1"/>
    </xf>
    <xf numFmtId="0" fontId="1" fillId="0" borderId="34" xfId="0" applyFont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165" fontId="10" fillId="0" borderId="24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34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34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" fillId="0" borderId="10" xfId="0" applyFont="1" applyBorder="1" applyProtection="1"/>
    <xf numFmtId="0" fontId="1" fillId="0" borderId="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2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1" fillId="0" borderId="0" xfId="0" applyFont="1" applyFill="1" applyBorder="1" applyProtection="1"/>
    <xf numFmtId="0" fontId="1" fillId="0" borderId="0" xfId="0" applyFont="1" applyAlignment="1" applyProtection="1">
      <alignment wrapText="1"/>
    </xf>
    <xf numFmtId="0" fontId="8" fillId="0" borderId="0" xfId="0" applyFont="1" applyProtection="1"/>
    <xf numFmtId="0" fontId="10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6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Protection="1"/>
    <xf numFmtId="0" fontId="9" fillId="0" borderId="1" xfId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/>
    </xf>
    <xf numFmtId="167" fontId="2" fillId="0" borderId="8" xfId="0" applyNumberFormat="1" applyFont="1" applyBorder="1" applyAlignment="1" applyProtection="1">
      <alignment horizontal="center" vertical="center"/>
    </xf>
    <xf numFmtId="167" fontId="2" fillId="0" borderId="3" xfId="0" applyNumberFormat="1" applyFont="1" applyFill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</xf>
    <xf numFmtId="167" fontId="2" fillId="0" borderId="7" xfId="0" applyNumberFormat="1" applyFont="1" applyBorder="1" applyAlignment="1" applyProtection="1">
      <alignment horizontal="center" vertical="center"/>
    </xf>
    <xf numFmtId="167" fontId="1" fillId="5" borderId="1" xfId="0" applyNumberFormat="1" applyFont="1" applyFill="1" applyBorder="1" applyAlignment="1" applyProtection="1">
      <alignment horizontal="center" vertical="center"/>
    </xf>
    <xf numFmtId="167" fontId="1" fillId="0" borderId="2" xfId="0" applyNumberFormat="1" applyFont="1" applyBorder="1" applyAlignment="1" applyProtection="1">
      <alignment horizontal="center" vertical="center"/>
    </xf>
    <xf numFmtId="167" fontId="1" fillId="3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7" xfId="0" applyNumberFormat="1" applyFont="1" applyFill="1" applyBorder="1" applyAlignment="1" applyProtection="1">
      <alignment horizontal="center" vertical="center"/>
      <protection locked="0"/>
    </xf>
    <xf numFmtId="167" fontId="1" fillId="0" borderId="27" xfId="0" applyNumberFormat="1" applyFont="1" applyBorder="1" applyAlignment="1" applyProtection="1">
      <alignment horizontal="center" vertical="center"/>
    </xf>
    <xf numFmtId="171" fontId="2" fillId="0" borderId="3" xfId="0" applyNumberFormat="1" applyFont="1" applyFill="1" applyBorder="1" applyAlignment="1" applyProtection="1">
      <alignment horizontal="center" vertical="center"/>
    </xf>
    <xf numFmtId="170" fontId="1" fillId="0" borderId="11" xfId="0" applyNumberFormat="1" applyFont="1" applyBorder="1" applyAlignment="1" applyProtection="1">
      <alignment horizontal="center" vertical="center"/>
    </xf>
    <xf numFmtId="170" fontId="1" fillId="0" borderId="8" xfId="0" applyNumberFormat="1" applyFont="1" applyBorder="1" applyAlignment="1" applyProtection="1">
      <alignment horizontal="center" vertical="center"/>
    </xf>
    <xf numFmtId="172" fontId="1" fillId="0" borderId="34" xfId="0" applyNumberFormat="1" applyFont="1" applyBorder="1" applyAlignment="1" applyProtection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70" fontId="15" fillId="0" borderId="0" xfId="0" applyNumberFormat="1" applyFont="1" applyFill="1" applyAlignment="1" applyProtection="1">
      <alignment vertical="center"/>
    </xf>
    <xf numFmtId="173" fontId="15" fillId="0" borderId="0" xfId="0" applyNumberFormat="1" applyFont="1" applyFill="1" applyAlignment="1" applyProtection="1">
      <alignment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8" fontId="2" fillId="0" borderId="1" xfId="0" applyNumberFormat="1" applyFont="1" applyBorder="1" applyAlignment="1" applyProtection="1">
      <alignment horizontal="center" vertical="center" wrapText="1"/>
    </xf>
    <xf numFmtId="168" fontId="13" fillId="0" borderId="1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167" fontId="2" fillId="3" borderId="4" xfId="0" applyNumberFormat="1" applyFont="1" applyFill="1" applyBorder="1" applyAlignment="1" applyProtection="1">
      <alignment horizontal="center" vertical="center"/>
      <protection locked="0"/>
    </xf>
    <xf numFmtId="167" fontId="2" fillId="3" borderId="5" xfId="0" applyNumberFormat="1" applyFont="1" applyFill="1" applyBorder="1" applyAlignment="1" applyProtection="1">
      <alignment horizontal="center" vertical="center"/>
      <protection locked="0"/>
    </xf>
    <xf numFmtId="167" fontId="2" fillId="3" borderId="1" xfId="0" applyNumberFormat="1" applyFont="1" applyFill="1" applyBorder="1" applyAlignment="1" applyProtection="1">
      <alignment horizontal="center" vertical="center"/>
      <protection locked="0"/>
    </xf>
    <xf numFmtId="167" fontId="2" fillId="3" borderId="11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170" fontId="2" fillId="0" borderId="7" xfId="0" applyNumberFormat="1" applyFont="1" applyBorder="1" applyAlignment="1" applyProtection="1">
      <alignment horizontal="center" vertical="center" wrapText="1"/>
    </xf>
    <xf numFmtId="170" fontId="13" fillId="0" borderId="8" xfId="0" applyNumberFormat="1" applyFont="1" applyBorder="1" applyAlignment="1" applyProtection="1">
      <alignment horizontal="center" vertical="center" wrapText="1"/>
    </xf>
    <xf numFmtId="164" fontId="4" fillId="2" borderId="29" xfId="0" applyNumberFormat="1" applyFont="1" applyFill="1" applyBorder="1" applyAlignment="1" applyProtection="1">
      <alignment horizontal="center" vertical="center" wrapText="1"/>
    </xf>
    <xf numFmtId="164" fontId="4" fillId="2" borderId="30" xfId="0" applyNumberFormat="1" applyFont="1" applyFill="1" applyBorder="1" applyAlignment="1" applyProtection="1">
      <alignment horizontal="center" vertical="center" wrapText="1"/>
    </xf>
    <xf numFmtId="169" fontId="2" fillId="0" borderId="2" xfId="0" applyNumberFormat="1" applyFont="1" applyBorder="1" applyAlignment="1" applyProtection="1">
      <alignment horizontal="center" vertical="center" wrapText="1"/>
    </xf>
    <xf numFmtId="169" fontId="2" fillId="0" borderId="13" xfId="0" applyNumberFormat="1" applyFont="1" applyBorder="1" applyAlignment="1" applyProtection="1">
      <alignment horizontal="center" vertical="center" wrapText="1"/>
    </xf>
    <xf numFmtId="168" fontId="2" fillId="0" borderId="2" xfId="0" applyNumberFormat="1" applyFont="1" applyBorder="1" applyAlignment="1" applyProtection="1">
      <alignment horizontal="center" vertical="center"/>
    </xf>
    <xf numFmtId="168" fontId="2" fillId="0" borderId="13" xfId="0" applyNumberFormat="1" applyFont="1" applyBorder="1" applyAlignment="1" applyProtection="1">
      <alignment horizontal="center" vertical="center"/>
    </xf>
    <xf numFmtId="170" fontId="2" fillId="0" borderId="2" xfId="0" applyNumberFormat="1" applyFont="1" applyBorder="1" applyAlignment="1" applyProtection="1">
      <alignment horizontal="center" vertical="center" wrapText="1"/>
    </xf>
    <xf numFmtId="170" fontId="2" fillId="0" borderId="13" xfId="0" applyNumberFormat="1" applyFont="1" applyBorder="1" applyAlignment="1" applyProtection="1">
      <alignment horizontal="center" vertical="center" wrapText="1"/>
    </xf>
    <xf numFmtId="170" fontId="2" fillId="0" borderId="1" xfId="0" applyNumberFormat="1" applyFont="1" applyBorder="1" applyAlignment="1" applyProtection="1">
      <alignment horizontal="center"/>
    </xf>
    <xf numFmtId="170" fontId="2" fillId="0" borderId="11" xfId="0" applyNumberFormat="1" applyFont="1" applyBorder="1" applyAlignment="1" applyProtection="1">
      <alignment horizontal="center"/>
    </xf>
    <xf numFmtId="170" fontId="2" fillId="0" borderId="1" xfId="0" applyNumberFormat="1" applyFont="1" applyBorder="1" applyAlignment="1" applyProtection="1">
      <alignment horizontal="center" vertical="center" wrapText="1"/>
    </xf>
    <xf numFmtId="170" fontId="13" fillId="0" borderId="11" xfId="0" applyNumberFormat="1" applyFont="1" applyBorder="1" applyAlignment="1" applyProtection="1">
      <alignment horizontal="center" vertical="center" wrapText="1"/>
    </xf>
    <xf numFmtId="168" fontId="2" fillId="0" borderId="11" xfId="0" applyNumberFormat="1" applyFont="1" applyBorder="1" applyAlignment="1" applyProtection="1">
      <alignment horizontal="center" vertical="center" wrapText="1"/>
    </xf>
    <xf numFmtId="170" fontId="2" fillId="0" borderId="11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1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vertical="center"/>
    </xf>
    <xf numFmtId="0" fontId="1" fillId="0" borderId="35" xfId="0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left" vertical="center"/>
    </xf>
    <xf numFmtId="0" fontId="1" fillId="0" borderId="36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left" vertical="center" wrapText="1"/>
    </xf>
    <xf numFmtId="0" fontId="10" fillId="0" borderId="35" xfId="0" applyFont="1" applyBorder="1" applyAlignment="1" applyProtection="1">
      <alignment horizontal="left" vertical="center" wrapText="1"/>
    </xf>
    <xf numFmtId="0" fontId="10" fillId="0" borderId="25" xfId="0" applyFont="1" applyBorder="1" applyAlignment="1" applyProtection="1">
      <alignment horizontal="left" vertical="center" wrapText="1"/>
    </xf>
    <xf numFmtId="0" fontId="1" fillId="0" borderId="37" xfId="0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7" fontId="2" fillId="3" borderId="29" xfId="0" applyNumberFormat="1" applyFont="1" applyFill="1" applyBorder="1" applyAlignment="1" applyProtection="1">
      <alignment horizontal="center" vertical="center"/>
      <protection locked="0"/>
    </xf>
    <xf numFmtId="167" fontId="2" fillId="3" borderId="30" xfId="0" applyNumberFormat="1" applyFont="1" applyFill="1" applyBorder="1" applyAlignment="1" applyProtection="1">
      <alignment horizontal="center" vertical="center"/>
      <protection locked="0"/>
    </xf>
    <xf numFmtId="167" fontId="2" fillId="3" borderId="2" xfId="0" applyNumberFormat="1" applyFont="1" applyFill="1" applyBorder="1" applyAlignment="1" applyProtection="1">
      <alignment horizontal="center" vertical="center"/>
      <protection locked="0"/>
    </xf>
    <xf numFmtId="167" fontId="2" fillId="3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isible Top Track'!A1"/><Relationship Id="rId2" Type="http://schemas.openxmlformats.org/officeDocument/2006/relationships/hyperlink" Target="#'Hidden Top Track, Cabinet'!A1"/><Relationship Id="rId1" Type="http://schemas.openxmlformats.org/officeDocument/2006/relationships/hyperlink" Target="#'Hidden Top Track, Door Opening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396327</xdr:colOff>
      <xdr:row>10</xdr:row>
      <xdr:rowOff>157407</xdr:rowOff>
    </xdr:from>
    <xdr:ext cx="3042000" cy="342786"/>
    <xdr:sp macro="" textlink="">
      <xdr:nvSpPr>
        <xdr:cNvPr id="2" name="Прямоугольни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5527" y="198620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>
              <a:solidFill>
                <a:schemeClr val="lt1"/>
              </a:solidFill>
              <a:effectLst>
                <a:outerShdw blurRad="50800" algn="tl" rotWithShape="0">
                  <a:srgbClr val="000000"/>
                </a:outerShdw>
              </a:effectLst>
              <a:latin typeface="+mn-lt"/>
              <a:ea typeface="+mn-ea"/>
              <a:cs typeface="+mn-cs"/>
            </a:rPr>
            <a:t>Hidden Top Track,</a:t>
          </a:r>
          <a:r>
            <a:rPr lang="en-US" sz="1600" b="1" baseline="0">
              <a:solidFill>
                <a:schemeClr val="lt1"/>
              </a:solidFill>
              <a:effectLst>
                <a:outerShdw blurRad="50800" algn="tl" rotWithShape="0">
                  <a:srgbClr val="000000"/>
                </a:outerShdw>
              </a:effectLst>
              <a:latin typeface="+mn-lt"/>
              <a:ea typeface="+mn-ea"/>
              <a:cs typeface="+mn-cs"/>
            </a:rPr>
            <a:t> Door Opening</a:t>
          </a:r>
          <a:endParaRPr lang="ru-RU" sz="1600" b="1">
            <a:effectLst/>
          </a:endParaRPr>
        </a:p>
      </xdr:txBody>
    </xdr:sp>
    <xdr:clientData/>
  </xdr:oneCellAnchor>
  <xdr:oneCellAnchor>
    <xdr:from>
      <xdr:col>2</xdr:col>
      <xdr:colOff>404264</xdr:colOff>
      <xdr:row>8</xdr:row>
      <xdr:rowOff>142143</xdr:rowOff>
    </xdr:from>
    <xdr:ext cx="3042000" cy="342786"/>
    <xdr:sp macro="" textlink="">
      <xdr:nvSpPr>
        <xdr:cNvPr id="3" name="Прямоугольни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23464" y="1605183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>
              <a:solidFill>
                <a:schemeClr val="lt1"/>
              </a:solidFill>
              <a:effectLst>
                <a:outerShdw blurRad="50800" algn="tl" rotWithShape="0">
                  <a:srgbClr val="000000"/>
                </a:outerShdw>
              </a:effectLst>
              <a:latin typeface="+mn-lt"/>
              <a:ea typeface="+mn-ea"/>
              <a:cs typeface="+mn-cs"/>
            </a:rPr>
            <a:t>Hidden Top Track,</a:t>
          </a:r>
          <a:r>
            <a:rPr lang="en-US" sz="1600" b="1" baseline="0">
              <a:solidFill>
                <a:schemeClr val="lt1"/>
              </a:solidFill>
              <a:effectLst>
                <a:outerShdw blurRad="50800" algn="tl" rotWithShape="0">
                  <a:srgbClr val="000000"/>
                </a:outerShdw>
              </a:effectLst>
              <a:latin typeface="+mn-lt"/>
              <a:ea typeface="+mn-ea"/>
              <a:cs typeface="+mn-cs"/>
            </a:rPr>
            <a:t> Cabinet</a:t>
          </a:r>
          <a:endParaRPr lang="ru-RU" sz="2400" b="1">
            <a:effectLst/>
          </a:endParaRPr>
        </a:p>
      </xdr:txBody>
    </xdr:sp>
    <xdr:clientData/>
  </xdr:oneCellAnchor>
  <xdr:oneCellAnchor>
    <xdr:from>
      <xdr:col>2</xdr:col>
      <xdr:colOff>404203</xdr:colOff>
      <xdr:row>6</xdr:row>
      <xdr:rowOff>126877</xdr:rowOff>
    </xdr:from>
    <xdr:ext cx="3042000" cy="342786"/>
    <xdr:sp macro="" textlink="">
      <xdr:nvSpPr>
        <xdr:cNvPr id="4" name="Прямоугольник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23403" y="122415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>
              <a:solidFill>
                <a:schemeClr val="lt1"/>
              </a:solidFill>
              <a:effectLst>
                <a:outerShdw blurRad="50800" algn="tl" rotWithShape="0">
                  <a:srgbClr val="000000"/>
                </a:outerShdw>
              </a:effectLst>
              <a:latin typeface="+mn-lt"/>
              <a:ea typeface="+mn-ea"/>
              <a:cs typeface="+mn-cs"/>
            </a:rPr>
            <a:t>Visible Top Track</a:t>
          </a:r>
          <a:endParaRPr lang="ru-RU" sz="2400" b="1">
            <a:effectLst/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545121</xdr:colOff>
      <xdr:row>2</xdr:row>
      <xdr:rowOff>139212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00567" y="51420"/>
          <a:ext cx="778554" cy="468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348343</xdr:colOff>
      <xdr:row>1</xdr:row>
      <xdr:rowOff>119741</xdr:rowOff>
    </xdr:from>
    <xdr:to>
      <xdr:col>18</xdr:col>
      <xdr:colOff>21772</xdr:colOff>
      <xdr:row>33</xdr:row>
      <xdr:rowOff>195942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2547C36-CC6D-4E8E-A9EE-2B6033584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42429" y="348341"/>
          <a:ext cx="2775857" cy="8284030"/>
        </a:xfrm>
        <a:prstGeom prst="rect">
          <a:avLst/>
        </a:prstGeom>
      </xdr:spPr>
    </xdr:pic>
    <xdr:clientData/>
  </xdr:twoCellAnchor>
  <xdr:twoCellAnchor editAs="oneCell">
    <xdr:from>
      <xdr:col>1</xdr:col>
      <xdr:colOff>840738</xdr:colOff>
      <xdr:row>31</xdr:row>
      <xdr:rowOff>97971</xdr:rowOff>
    </xdr:from>
    <xdr:to>
      <xdr:col>1</xdr:col>
      <xdr:colOff>2255847</xdr:colOff>
      <xdr:row>43</xdr:row>
      <xdr:rowOff>21772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75EDC14-240B-46EE-B77A-684E3309B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567" y="7761514"/>
          <a:ext cx="1415109" cy="2841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163287</xdr:colOff>
      <xdr:row>4</xdr:row>
      <xdr:rowOff>217712</xdr:rowOff>
    </xdr:from>
    <xdr:to>
      <xdr:col>22</xdr:col>
      <xdr:colOff>331297</xdr:colOff>
      <xdr:row>34</xdr:row>
      <xdr:rowOff>174172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7DD418C-01D6-4010-81E8-DD68C91CE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98887" y="1371598"/>
          <a:ext cx="5752381" cy="7434945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790573</xdr:colOff>
      <xdr:row>32</xdr:row>
      <xdr:rowOff>1365</xdr:rowOff>
    </xdr:from>
    <xdr:to>
      <xdr:col>1</xdr:col>
      <xdr:colOff>2205682</xdr:colOff>
      <xdr:row>44</xdr:row>
      <xdr:rowOff>197308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31A9C6F-D9EB-4B52-984A-E266C411D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4744" y="7915279"/>
          <a:ext cx="1415109" cy="2841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315686</xdr:colOff>
      <xdr:row>1</xdr:row>
      <xdr:rowOff>304801</xdr:rowOff>
    </xdr:from>
    <xdr:to>
      <xdr:col>22</xdr:col>
      <xdr:colOff>359229</xdr:colOff>
      <xdr:row>35</xdr:row>
      <xdr:rowOff>43543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14E65A6-F633-497F-ABFA-29BACF405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5972" y="533401"/>
          <a:ext cx="5627914" cy="8414656"/>
        </a:xfrm>
        <a:prstGeom prst="rect">
          <a:avLst/>
        </a:prstGeom>
      </xdr:spPr>
    </xdr:pic>
    <xdr:clientData/>
  </xdr:twoCellAnchor>
  <xdr:twoCellAnchor editAs="oneCell">
    <xdr:from>
      <xdr:col>1</xdr:col>
      <xdr:colOff>500743</xdr:colOff>
      <xdr:row>33</xdr:row>
      <xdr:rowOff>87085</xdr:rowOff>
    </xdr:from>
    <xdr:to>
      <xdr:col>1</xdr:col>
      <xdr:colOff>1915852</xdr:colOff>
      <xdr:row>44</xdr:row>
      <xdr:rowOff>146957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C4884C0-2312-419D-8B2E-9E0C875AA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029" y="8240485"/>
          <a:ext cx="1415109" cy="2841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9"/>
  <sheetViews>
    <sheetView tabSelected="1" workbookViewId="0"/>
  </sheetViews>
  <sheetFormatPr defaultColWidth="8.85546875" defaultRowHeight="15" x14ac:dyDescent="0.25"/>
  <sheetData>
    <row r="1" spans="1:11" x14ac:dyDescent="0.25">
      <c r="A1" s="5"/>
      <c r="B1" s="6"/>
      <c r="C1" s="6"/>
      <c r="D1" s="6"/>
      <c r="E1" s="6"/>
      <c r="F1" s="6"/>
      <c r="G1" s="6"/>
      <c r="H1" s="6"/>
      <c r="I1" s="6"/>
      <c r="J1" s="7"/>
      <c r="K1" s="8"/>
    </row>
    <row r="2" spans="1:11" x14ac:dyDescent="0.25">
      <c r="A2" s="9"/>
      <c r="B2" s="10"/>
      <c r="C2" s="10"/>
      <c r="D2" s="10"/>
      <c r="E2" s="10"/>
      <c r="F2" s="10"/>
      <c r="G2" s="10"/>
      <c r="H2" s="10"/>
      <c r="I2" s="10"/>
      <c r="J2" s="11"/>
      <c r="K2" s="8"/>
    </row>
    <row r="3" spans="1:11" x14ac:dyDescent="0.25">
      <c r="A3" s="9"/>
      <c r="B3" s="10"/>
      <c r="C3" s="10"/>
      <c r="D3" s="10"/>
      <c r="E3" s="10"/>
      <c r="F3" s="10"/>
      <c r="G3" s="10"/>
      <c r="H3" s="10"/>
      <c r="I3" s="10"/>
      <c r="J3" s="11"/>
      <c r="K3" s="8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11"/>
      <c r="K4" s="8"/>
    </row>
    <row r="5" spans="1:11" x14ac:dyDescent="0.25">
      <c r="A5" s="9"/>
      <c r="B5" s="10"/>
      <c r="C5" s="10"/>
      <c r="D5" s="10"/>
      <c r="E5" s="10"/>
      <c r="F5" s="10"/>
      <c r="G5" s="10"/>
      <c r="H5" s="10"/>
      <c r="I5" s="10"/>
      <c r="J5" s="11"/>
      <c r="K5" s="8"/>
    </row>
    <row r="6" spans="1:11" x14ac:dyDescent="0.25">
      <c r="A6" s="9"/>
      <c r="B6" s="10"/>
      <c r="C6" s="10"/>
      <c r="D6" s="10"/>
      <c r="E6" s="10"/>
      <c r="F6" s="10"/>
      <c r="G6" s="10"/>
      <c r="H6" s="10"/>
      <c r="I6" s="10"/>
      <c r="J6" s="11"/>
      <c r="K6" s="8"/>
    </row>
    <row r="7" spans="1:11" x14ac:dyDescent="0.25">
      <c r="A7" s="9"/>
      <c r="B7" s="10"/>
      <c r="C7" s="10"/>
      <c r="D7" s="10"/>
      <c r="E7" s="10"/>
      <c r="F7" s="10"/>
      <c r="G7" s="10"/>
      <c r="H7" s="10"/>
      <c r="I7" s="10"/>
      <c r="J7" s="11"/>
      <c r="K7" s="8"/>
    </row>
    <row r="8" spans="1:11" x14ac:dyDescent="0.25">
      <c r="A8" s="9"/>
      <c r="B8" s="10"/>
      <c r="C8" s="10"/>
      <c r="D8" s="10"/>
      <c r="E8" s="10"/>
      <c r="F8" s="10"/>
      <c r="G8" s="10"/>
      <c r="H8" s="10"/>
      <c r="I8" s="10"/>
      <c r="J8" s="11"/>
      <c r="K8" s="8"/>
    </row>
    <row r="9" spans="1:11" x14ac:dyDescent="0.25">
      <c r="A9" s="9"/>
      <c r="B9" s="10"/>
      <c r="C9" s="10"/>
      <c r="D9" s="10"/>
      <c r="E9" s="10"/>
      <c r="F9" s="10"/>
      <c r="G9" s="10"/>
      <c r="H9" s="10"/>
      <c r="I9" s="10"/>
      <c r="J9" s="11"/>
      <c r="K9" s="8"/>
    </row>
    <row r="10" spans="1:1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1"/>
      <c r="K10" s="8"/>
    </row>
    <row r="11" spans="1:1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1"/>
      <c r="K11" s="8"/>
    </row>
    <row r="12" spans="1:1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1"/>
      <c r="K12" s="8"/>
    </row>
    <row r="13" spans="1:1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1"/>
      <c r="K13" s="8"/>
    </row>
    <row r="14" spans="1:1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1"/>
      <c r="K14" s="8"/>
    </row>
    <row r="15" spans="1:1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1"/>
      <c r="K15" s="8"/>
    </row>
    <row r="16" spans="1:11" ht="15.75" thickBot="1" x14ac:dyDescent="0.3">
      <c r="A16" s="12"/>
      <c r="B16" s="13"/>
      <c r="C16" s="13"/>
      <c r="D16" s="13"/>
      <c r="E16" s="13"/>
      <c r="F16" s="13"/>
      <c r="G16" s="13"/>
      <c r="H16" s="13"/>
      <c r="I16" s="13"/>
      <c r="J16" s="14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sheetProtection algorithmName="SHA-512" hashValue="BBRS382UZk17NMc03IzvqUEU8GCMnCQqORYNBvxWAF828b/4rxnpW+9PtOlLTTtd79tv+b8O+PCGySmFNkLTzQ==" saltValue="eF5KOrWPGbFXTUKEp4hK3w==" spinCount="100000" sheet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U52"/>
  <sheetViews>
    <sheetView zoomScale="70" zoomScaleNormal="70" workbookViewId="0">
      <selection activeCell="E7" sqref="E7:F7"/>
    </sheetView>
  </sheetViews>
  <sheetFormatPr defaultColWidth="9.140625" defaultRowHeight="18.75" x14ac:dyDescent="0.3"/>
  <cols>
    <col min="1" max="1" width="3" style="24" customWidth="1"/>
    <col min="2" max="2" width="43.42578125" style="24" customWidth="1"/>
    <col min="3" max="3" width="41.7109375" style="24" customWidth="1"/>
    <col min="4" max="6" width="14.7109375" style="23" customWidth="1"/>
    <col min="7" max="7" width="2.7109375" style="24" customWidth="1"/>
    <col min="8" max="8" width="80.28515625" style="24" customWidth="1"/>
    <col min="9" max="9" width="19.42578125" style="24" customWidth="1"/>
    <col min="10" max="10" width="16.7109375" style="24" customWidth="1"/>
    <col min="11" max="11" width="13.42578125" style="24" customWidth="1"/>
    <col min="12" max="12" width="15.140625" style="24" hidden="1" customWidth="1"/>
    <col min="13" max="13" width="10" style="24" hidden="1" customWidth="1"/>
    <col min="14" max="17" width="9.140625" style="24"/>
    <col min="18" max="19" width="9.140625" style="24" customWidth="1"/>
    <col min="20" max="20" width="17.42578125" style="24" hidden="1" customWidth="1"/>
    <col min="21" max="21" width="9.140625" style="24" hidden="1" customWidth="1"/>
    <col min="22" max="22" width="9.140625" style="24" customWidth="1"/>
    <col min="23" max="16384" width="9.140625" style="24"/>
  </cols>
  <sheetData>
    <row r="1" spans="2:21" x14ac:dyDescent="0.3">
      <c r="B1" s="22"/>
      <c r="C1" s="22"/>
      <c r="T1" s="26" t="s">
        <v>85</v>
      </c>
      <c r="U1" s="25" t="s">
        <v>62</v>
      </c>
    </row>
    <row r="2" spans="2:21" s="25" customFormat="1" ht="27.6" customHeight="1" x14ac:dyDescent="0.25">
      <c r="B2" s="108" t="s">
        <v>26</v>
      </c>
      <c r="C2" s="108"/>
      <c r="D2" s="108"/>
      <c r="E2" s="108"/>
      <c r="F2" s="108"/>
      <c r="G2" s="108"/>
      <c r="H2" s="108"/>
      <c r="I2" s="108"/>
      <c r="J2" s="108"/>
      <c r="K2" s="108"/>
      <c r="T2" s="26" t="s">
        <v>115</v>
      </c>
      <c r="U2" s="25" t="s">
        <v>111</v>
      </c>
    </row>
    <row r="3" spans="2:21" s="26" customFormat="1" ht="26.1" customHeight="1" x14ac:dyDescent="0.25">
      <c r="B3" s="108" t="s">
        <v>27</v>
      </c>
      <c r="C3" s="108"/>
      <c r="D3" s="108"/>
      <c r="E3" s="111"/>
      <c r="F3" s="111"/>
      <c r="G3" s="111"/>
      <c r="H3" s="111"/>
      <c r="I3" s="111"/>
      <c r="J3" s="111"/>
      <c r="K3" s="111"/>
    </row>
    <row r="4" spans="2:21" s="26" customFormat="1" ht="20.100000000000001" customHeight="1" x14ac:dyDescent="0.3">
      <c r="B4" s="27"/>
      <c r="C4" s="27"/>
      <c r="D4" s="27"/>
      <c r="E4" s="27"/>
      <c r="F4" s="27"/>
      <c r="H4" s="28"/>
      <c r="I4" s="28"/>
      <c r="J4" s="28"/>
      <c r="K4" s="28"/>
      <c r="T4" s="29" t="s">
        <v>1</v>
      </c>
    </row>
    <row r="5" spans="2:21" s="26" customFormat="1" ht="20.100000000000001" customHeight="1" x14ac:dyDescent="0.25">
      <c r="B5" s="112" t="s">
        <v>29</v>
      </c>
      <c r="C5" s="112"/>
      <c r="D5" s="112"/>
      <c r="E5" s="112"/>
      <c r="F5" s="82"/>
      <c r="H5" s="112" t="s">
        <v>30</v>
      </c>
      <c r="I5" s="112"/>
      <c r="J5" s="112"/>
      <c r="K5" s="112"/>
      <c r="T5" s="29" t="s">
        <v>2</v>
      </c>
    </row>
    <row r="6" spans="2:21" s="25" customFormat="1" ht="20.100000000000001" customHeight="1" thickBot="1" x14ac:dyDescent="0.3">
      <c r="B6" s="30"/>
      <c r="C6" s="30"/>
      <c r="D6" s="30"/>
      <c r="E6" s="30"/>
      <c r="F6" s="30"/>
      <c r="G6" s="26"/>
      <c r="H6" s="30"/>
      <c r="I6" s="30"/>
      <c r="J6" s="30"/>
      <c r="K6" s="30"/>
      <c r="T6" s="29" t="s">
        <v>3</v>
      </c>
    </row>
    <row r="7" spans="2:21" s="25" customFormat="1" ht="20.100000000000001" customHeight="1" x14ac:dyDescent="0.25">
      <c r="B7" s="151" t="s">
        <v>32</v>
      </c>
      <c r="C7" s="152"/>
      <c r="D7" s="152"/>
      <c r="E7" s="121">
        <v>2000</v>
      </c>
      <c r="F7" s="122"/>
      <c r="H7" s="113" t="s">
        <v>31</v>
      </c>
      <c r="I7" s="114"/>
      <c r="J7" s="31" t="s">
        <v>45</v>
      </c>
      <c r="K7" s="107">
        <f>IF(E14=T38,E7-45,E7-39)</f>
        <v>1955</v>
      </c>
      <c r="T7" s="29" t="s">
        <v>4</v>
      </c>
    </row>
    <row r="8" spans="2:21" s="25" customFormat="1" ht="20.100000000000001" customHeight="1" thickBot="1" x14ac:dyDescent="0.3">
      <c r="B8" s="153" t="s">
        <v>33</v>
      </c>
      <c r="C8" s="154"/>
      <c r="D8" s="154"/>
      <c r="E8" s="123">
        <v>2000</v>
      </c>
      <c r="F8" s="124"/>
      <c r="H8" s="115"/>
      <c r="I8" s="116"/>
      <c r="J8" s="32" t="s">
        <v>46</v>
      </c>
      <c r="K8" s="90">
        <f>ROUNDUP(IF(AND(E17=T48,E9=T7),(E8-20+E11*10)/E10,
IF(AND(E17=T48,E9&lt;&gt;T7),(E8-10+E11*10)/E10,(E8+E11*10)/E10)),0)</f>
        <v>1000</v>
      </c>
      <c r="T8" s="29" t="s">
        <v>5</v>
      </c>
    </row>
    <row r="9" spans="2:21" s="25" customFormat="1" ht="20.100000000000001" customHeight="1" thickBot="1" x14ac:dyDescent="0.3">
      <c r="B9" s="155" t="s">
        <v>34</v>
      </c>
      <c r="C9" s="156"/>
      <c r="D9" s="156"/>
      <c r="E9" s="125" t="s">
        <v>1</v>
      </c>
      <c r="F9" s="126"/>
      <c r="H9" s="33"/>
      <c r="I9" s="33"/>
      <c r="J9" s="34"/>
      <c r="K9" s="1"/>
    </row>
    <row r="10" spans="2:21" s="25" customFormat="1" ht="20.100000000000001" customHeight="1" x14ac:dyDescent="0.25">
      <c r="B10" s="155" t="s">
        <v>35</v>
      </c>
      <c r="C10" s="156"/>
      <c r="D10" s="156"/>
      <c r="E10" s="127">
        <v>2</v>
      </c>
      <c r="F10" s="128"/>
      <c r="H10" s="35" t="s">
        <v>54</v>
      </c>
      <c r="I10" s="36" t="s">
        <v>58</v>
      </c>
      <c r="J10" s="31" t="s">
        <v>56</v>
      </c>
      <c r="K10" s="37" t="s">
        <v>57</v>
      </c>
      <c r="L10" s="72"/>
    </row>
    <row r="11" spans="2:21" s="25" customFormat="1" ht="20.100000000000001" customHeight="1" x14ac:dyDescent="0.3">
      <c r="B11" s="155" t="s">
        <v>36</v>
      </c>
      <c r="C11" s="156"/>
      <c r="D11" s="156"/>
      <c r="E11" s="127">
        <f>IF(E9=T4,1,IF(E9=T5,2,IF(E9=T6,3,IF(E9=T7,2,IF(E9=T8,4)))))</f>
        <v>1</v>
      </c>
      <c r="F11" s="128"/>
      <c r="H11" s="38" t="s">
        <v>61</v>
      </c>
      <c r="I11" s="39" t="s">
        <v>8</v>
      </c>
      <c r="J11" s="91">
        <f>E8-2</f>
        <v>1998</v>
      </c>
      <c r="K11" s="2">
        <v>1</v>
      </c>
      <c r="L11" s="24"/>
    </row>
    <row r="12" spans="2:21" s="25" customFormat="1" ht="20.100000000000001" customHeight="1" x14ac:dyDescent="0.3">
      <c r="B12" s="153" t="s">
        <v>37</v>
      </c>
      <c r="C12" s="154"/>
      <c r="D12" s="154"/>
      <c r="E12" s="129">
        <v>0</v>
      </c>
      <c r="F12" s="130"/>
      <c r="H12" s="38" t="str">
        <f>IF(E14=T38,T1,T2)</f>
        <v>Double Bottom Track</v>
      </c>
      <c r="I12" s="39" t="str">
        <f>IF(E14=T38,U1,U2)</f>
        <v>CKRU0504/0403</v>
      </c>
      <c r="J12" s="91">
        <f>E8-2</f>
        <v>1998</v>
      </c>
      <c r="K12" s="2">
        <f>IF(E14=T38,1,2)</f>
        <v>1</v>
      </c>
      <c r="L12" s="24"/>
      <c r="T12" s="17" t="s">
        <v>98</v>
      </c>
    </row>
    <row r="13" spans="2:21" s="25" customFormat="1" ht="20.100000000000001" customHeight="1" x14ac:dyDescent="0.3">
      <c r="B13" s="157" t="s">
        <v>38</v>
      </c>
      <c r="C13" s="158"/>
      <c r="D13" s="158"/>
      <c r="E13" s="129">
        <v>0</v>
      </c>
      <c r="F13" s="130"/>
      <c r="H13" s="40" t="s">
        <v>63</v>
      </c>
      <c r="I13" s="41" t="s">
        <v>7</v>
      </c>
      <c r="J13" s="92">
        <f>K7</f>
        <v>1955</v>
      </c>
      <c r="K13" s="3">
        <f>E10*2</f>
        <v>4</v>
      </c>
      <c r="L13" s="24">
        <v>0.29799999999999999</v>
      </c>
      <c r="M13" s="25">
        <f t="shared" ref="M13:M16" si="0">L13*J13*K13/1000</f>
        <v>2.3303599999999998</v>
      </c>
      <c r="T13" s="17" t="s">
        <v>100</v>
      </c>
    </row>
    <row r="14" spans="2:21" s="25" customFormat="1" ht="20.100000000000001" customHeight="1" x14ac:dyDescent="0.3">
      <c r="B14" s="159" t="s">
        <v>115</v>
      </c>
      <c r="C14" s="160"/>
      <c r="D14" s="160"/>
      <c r="E14" s="147" t="s">
        <v>93</v>
      </c>
      <c r="F14" s="148"/>
      <c r="H14" s="40" t="s">
        <v>64</v>
      </c>
      <c r="I14" s="41" t="s">
        <v>9</v>
      </c>
      <c r="J14" s="92">
        <f>K8-2*9.7</f>
        <v>980.6</v>
      </c>
      <c r="K14" s="3">
        <f>E10</f>
        <v>2</v>
      </c>
      <c r="L14" s="24">
        <v>0.28299999999999997</v>
      </c>
      <c r="M14" s="25">
        <f t="shared" si="0"/>
        <v>0.55501959999999995</v>
      </c>
      <c r="T14" s="17" t="s">
        <v>99</v>
      </c>
    </row>
    <row r="15" spans="2:21" s="25" customFormat="1" ht="20.100000000000001" customHeight="1" x14ac:dyDescent="0.3">
      <c r="B15" s="159" t="s">
        <v>39</v>
      </c>
      <c r="C15" s="160"/>
      <c r="D15" s="160"/>
      <c r="E15" s="147" t="s">
        <v>93</v>
      </c>
      <c r="F15" s="148"/>
      <c r="H15" s="40" t="s">
        <v>65</v>
      </c>
      <c r="I15" s="42" t="s">
        <v>10</v>
      </c>
      <c r="J15" s="92">
        <f>J14</f>
        <v>980.6</v>
      </c>
      <c r="K15" s="3">
        <f>E10</f>
        <v>2</v>
      </c>
      <c r="L15" s="24">
        <v>0.56000000000000005</v>
      </c>
      <c r="M15" s="25">
        <f t="shared" si="0"/>
        <v>1.0982720000000001</v>
      </c>
    </row>
    <row r="16" spans="2:21" s="25" customFormat="1" ht="20.100000000000001" customHeight="1" thickBot="1" x14ac:dyDescent="0.35">
      <c r="B16" s="159" t="s">
        <v>40</v>
      </c>
      <c r="C16" s="160"/>
      <c r="D16" s="160"/>
      <c r="E16" s="147" t="s">
        <v>93</v>
      </c>
      <c r="F16" s="148"/>
      <c r="H16" s="43" t="s">
        <v>66</v>
      </c>
      <c r="I16" s="44" t="s">
        <v>11</v>
      </c>
      <c r="J16" s="93">
        <f>J14</f>
        <v>980.6</v>
      </c>
      <c r="K16" s="4">
        <f>E10*E13</f>
        <v>0</v>
      </c>
      <c r="L16" s="24">
        <v>0.312</v>
      </c>
      <c r="M16" s="25">
        <f t="shared" si="0"/>
        <v>0</v>
      </c>
    </row>
    <row r="17" spans="2:20" s="25" customFormat="1" ht="20.100000000000001" customHeight="1" thickBot="1" x14ac:dyDescent="0.3">
      <c r="B17" s="161" t="s">
        <v>41</v>
      </c>
      <c r="C17" s="162"/>
      <c r="D17" s="162"/>
      <c r="E17" s="149" t="s">
        <v>96</v>
      </c>
      <c r="F17" s="150"/>
      <c r="H17" s="72"/>
      <c r="I17" s="72"/>
      <c r="J17" s="78"/>
      <c r="K17" s="79"/>
      <c r="M17" s="48">
        <f>SUM(M13:M16)/E10</f>
        <v>1.9918258</v>
      </c>
    </row>
    <row r="18" spans="2:20" s="25" customFormat="1" ht="20.100000000000001" customHeight="1" thickBot="1" x14ac:dyDescent="0.3">
      <c r="B18" s="119" t="s">
        <v>42</v>
      </c>
      <c r="C18" s="120"/>
      <c r="D18" s="120"/>
      <c r="E18" s="117" t="s">
        <v>93</v>
      </c>
      <c r="F18" s="118"/>
      <c r="H18" s="49" t="s">
        <v>55</v>
      </c>
      <c r="I18" s="36" t="s">
        <v>58</v>
      </c>
      <c r="J18" s="133" t="s">
        <v>57</v>
      </c>
      <c r="K18" s="134"/>
      <c r="T18" s="25" t="s">
        <v>101</v>
      </c>
    </row>
    <row r="19" spans="2:20" s="25" customFormat="1" ht="20.100000000000001" customHeight="1" x14ac:dyDescent="0.25">
      <c r="H19" s="40" t="s">
        <v>60</v>
      </c>
      <c r="I19" s="50" t="s">
        <v>12</v>
      </c>
      <c r="J19" s="135">
        <f>E10</f>
        <v>2</v>
      </c>
      <c r="K19" s="136"/>
      <c r="M19" s="25">
        <f>IF(C26=$T$12,((D26*E26*F26/$E$10)/1000000)*8,IF(C26=$T$13,((D26*E26*F26/$E$10)/1000000)*6.5,((D26*E26*F26/$E$10)/1000000)*11))</f>
        <v>15.553535999999999</v>
      </c>
      <c r="T19" s="25" t="s">
        <v>102</v>
      </c>
    </row>
    <row r="20" spans="2:20" s="25" customFormat="1" ht="20.100000000000001" customHeight="1" x14ac:dyDescent="0.25">
      <c r="B20" s="25" t="s">
        <v>43</v>
      </c>
      <c r="H20" s="40" t="s">
        <v>77</v>
      </c>
      <c r="I20" s="21" t="s">
        <v>78</v>
      </c>
      <c r="J20" s="137">
        <f>ROUNDUP(IF(AND(C36&lt;&gt;T51,C26=T13),(D26+E26)*2*F26,0)/1000,0)</f>
        <v>0</v>
      </c>
      <c r="K20" s="138"/>
      <c r="M20" s="25">
        <f>IF(C27=$T$12,((D27*E27*F27/$E$10)/1000000)*8,IF(C27=$T$13,((D27*E27*F27/$E$10)/1000000)*6.5,((D27*E27*F27/$E$10)/1000000)*11))</f>
        <v>0</v>
      </c>
    </row>
    <row r="21" spans="2:20" s="25" customFormat="1" ht="20.100000000000001" customHeight="1" thickBot="1" x14ac:dyDescent="0.3">
      <c r="H21" s="40" t="s">
        <v>76</v>
      </c>
      <c r="I21" s="21" t="s">
        <v>79</v>
      </c>
      <c r="J21" s="137">
        <f>ROUNDUP((IF(AND(E13&lt;&gt;0,C26=T14),(D26+E26+D26)*F26,IF(AND(E13=0,C26=T14),(D26+E26)*2*F26,0))
+IF(C27=T14,D27*2*F27,0)
+IF(C28=T14,D28*2*F28,0)
+IF(C29=T14,D29*2*F29,0)
+IF(C30=T14,(D30+E30+D30)*F30,0))/1000,0)</f>
        <v>0</v>
      </c>
      <c r="K21" s="138"/>
      <c r="M21" s="25">
        <f>IF(C28=$T$12,((D28*E28*F28/$E$10)/1000000)*8,IF(C28=$T$13,((D28*E28*F28/$E$10)/1000000)*6.5,((D28*E28*F28/$E$10)/1000000)*11))</f>
        <v>0</v>
      </c>
    </row>
    <row r="22" spans="2:20" s="25" customFormat="1" ht="20.100000000000001" customHeight="1" thickBot="1" x14ac:dyDescent="0.35">
      <c r="B22" s="53" t="s">
        <v>44</v>
      </c>
      <c r="C22" s="54">
        <v>1</v>
      </c>
      <c r="D22" s="83"/>
      <c r="E22" s="52"/>
      <c r="F22" s="52"/>
      <c r="H22" s="65" t="s">
        <v>73</v>
      </c>
      <c r="I22" s="21" t="s">
        <v>72</v>
      </c>
      <c r="J22" s="137">
        <f>ROUNDUP((IF(AND(E13&lt;&gt;0,C26=T14),E26*F26,0)
+IF(C27=T14,E27*2*F27,0)
+IF(C28=T14,E28*2*F28,0)
+IF(C29=T14,E29*2*F29,0)
+IF(C30=T14,E30*F30,0))/1000,0)</f>
        <v>0</v>
      </c>
      <c r="K22" s="138"/>
      <c r="M22" s="25">
        <f>IF(C29=$T$12,((D29*E29*F29/$E$10)/1000000)*8,IF(C29=$T$13,((D29*E29*F29/$E$10)/1000000)*6.5,((D29*E29*F29/$E$10)/1000000)*11))</f>
        <v>0</v>
      </c>
      <c r="T22" s="24" t="s">
        <v>103</v>
      </c>
    </row>
    <row r="23" spans="2:20" s="25" customFormat="1" ht="20.100000000000001" customHeight="1" thickBot="1" x14ac:dyDescent="0.35">
      <c r="H23" s="40" t="s">
        <v>67</v>
      </c>
      <c r="I23" s="50" t="s">
        <v>13</v>
      </c>
      <c r="J23" s="135">
        <f>IF(M26&lt;30,ROUNDUP(E12/2,0),0)</f>
        <v>0</v>
      </c>
      <c r="K23" s="136"/>
      <c r="M23" s="25">
        <f>IF(C30=$T$12,((D30*E30*F30/$E$10)/1000000)*8,IF(C30=$T$13,((D30*E30*F30/$E$10)/1000000)*6.5,((D30*E30*F30/$E$10)/1000000)*11))</f>
        <v>0</v>
      </c>
      <c r="T23" s="24" t="s">
        <v>0</v>
      </c>
    </row>
    <row r="24" spans="2:20" s="25" customFormat="1" ht="20.100000000000001" customHeight="1" thickBot="1" x14ac:dyDescent="0.3">
      <c r="H24" s="40" t="s">
        <v>67</v>
      </c>
      <c r="I24" s="50" t="s">
        <v>14</v>
      </c>
      <c r="J24" s="135">
        <f>IF(AND(M26&gt;=30,M26&lt;50),ROUNDUP(E12/2,0),0)</f>
        <v>0</v>
      </c>
      <c r="K24" s="136"/>
      <c r="M24" s="48">
        <f>SUM(M19:M23)</f>
        <v>15.553535999999999</v>
      </c>
    </row>
    <row r="25" spans="2:20" s="25" customFormat="1" ht="20.100000000000001" customHeight="1" thickBot="1" x14ac:dyDescent="0.3">
      <c r="B25" s="55" t="s">
        <v>47</v>
      </c>
      <c r="C25" s="56" t="s">
        <v>59</v>
      </c>
      <c r="D25" s="56" t="s">
        <v>45</v>
      </c>
      <c r="E25" s="57" t="s">
        <v>46</v>
      </c>
      <c r="F25" s="58" t="s">
        <v>57</v>
      </c>
      <c r="G25" s="61">
        <f>IF(D26&lt;&gt;0,1,0)</f>
        <v>1</v>
      </c>
      <c r="H25" s="40" t="s">
        <v>67</v>
      </c>
      <c r="I25" s="50" t="s">
        <v>15</v>
      </c>
      <c r="J25" s="135">
        <f>IF(AND(M26&gt;=50,M26&lt;70),ROUNDUP(E12/2,0),0)</f>
        <v>0</v>
      </c>
      <c r="K25" s="136"/>
    </row>
    <row r="26" spans="2:20" s="25" customFormat="1" ht="20.100000000000001" customHeight="1" thickBot="1" x14ac:dyDescent="0.3">
      <c r="B26" s="40" t="s">
        <v>52</v>
      </c>
      <c r="C26" s="15" t="s">
        <v>98</v>
      </c>
      <c r="D26" s="94">
        <f>ROUNDDOWN(K7-IF(D30=0,0,IF(C30=T12,D30,IF(C30=T13,D30+2,D30+3)))-IF(D29=0,0,IF(C29=T12,D29,IF(C29=T13,D29+2,D29+3)))-IF(D28=0,0,IF(C28=T12,D28,IF(C28=T13,D28+2,D28+3)))-IF(D27=0,0,IF(C27=T12,D27,IF(C27=T13,D27+2,D27+3)))-3-IF(C26=T13,2,IF(C26=T14,3,0))-E13*1.3,0)</f>
        <v>1952</v>
      </c>
      <c r="E26" s="95">
        <f>IF(C26=T12,K8-4,IF(C26=T13,K8-4-2,K8-4-3))</f>
        <v>996</v>
      </c>
      <c r="F26" s="100">
        <f>$E$10</f>
        <v>2</v>
      </c>
      <c r="G26" s="61">
        <f>IF(D27&lt;&gt;0,1,0)</f>
        <v>0</v>
      </c>
      <c r="H26" s="89" t="s">
        <v>69</v>
      </c>
      <c r="I26" s="50" t="s">
        <v>18</v>
      </c>
      <c r="J26" s="139">
        <f>IF(E16=T43,E10*2-E12,0)</f>
        <v>0</v>
      </c>
      <c r="K26" s="140"/>
      <c r="L26" s="59" t="s">
        <v>23</v>
      </c>
      <c r="M26" s="60">
        <f>(M24+M17)*1.05</f>
        <v>18.42262989</v>
      </c>
      <c r="T26" s="105">
        <v>0</v>
      </c>
    </row>
    <row r="27" spans="2:20" s="25" customFormat="1" ht="20.100000000000001" customHeight="1" x14ac:dyDescent="0.25">
      <c r="B27" s="40" t="s">
        <v>48</v>
      </c>
      <c r="C27" s="15" t="s">
        <v>99</v>
      </c>
      <c r="D27" s="96">
        <v>0</v>
      </c>
      <c r="E27" s="95">
        <f>IF(C27=$T$34,$K$8-4,$K$8-4-3)</f>
        <v>993</v>
      </c>
      <c r="F27" s="100">
        <f>IF(D27&lt;&gt;0,$E$10,0)</f>
        <v>0</v>
      </c>
      <c r="G27" s="61">
        <f>IF(D28&lt;&gt;0,1,0)</f>
        <v>0</v>
      </c>
      <c r="H27" s="40" t="s">
        <v>68</v>
      </c>
      <c r="I27" s="50" t="s">
        <v>19</v>
      </c>
      <c r="J27" s="139">
        <f>IF(E16=T44,E10*2-E12,0)</f>
        <v>0</v>
      </c>
      <c r="K27" s="140"/>
      <c r="T27" s="106">
        <v>1</v>
      </c>
    </row>
    <row r="28" spans="2:20" s="25" customFormat="1" ht="20.100000000000001" customHeight="1" x14ac:dyDescent="0.3">
      <c r="B28" s="40" t="s">
        <v>49</v>
      </c>
      <c r="C28" s="15" t="s">
        <v>99</v>
      </c>
      <c r="D28" s="96">
        <v>0</v>
      </c>
      <c r="E28" s="95">
        <f t="shared" ref="E28:E30" si="1">IF(C28=$T$34,$K$8-4,$K$8-4-3)</f>
        <v>993</v>
      </c>
      <c r="F28" s="100">
        <f t="shared" ref="F28:F30" si="2">IF(D28&lt;&gt;0,$E$10,0)</f>
        <v>0</v>
      </c>
      <c r="G28" s="61">
        <f>IF(D29&lt;&gt;0,1,0)</f>
        <v>0</v>
      </c>
      <c r="H28" s="62" t="s">
        <v>75</v>
      </c>
      <c r="I28" s="63" t="s">
        <v>20</v>
      </c>
      <c r="J28" s="141">
        <f>IF(E17=T47,K14*2+K15*2+K16*2,0)</f>
        <v>0</v>
      </c>
      <c r="K28" s="142"/>
      <c r="T28" s="105">
        <v>2</v>
      </c>
    </row>
    <row r="29" spans="2:20" s="25" customFormat="1" ht="20.100000000000001" customHeight="1" x14ac:dyDescent="0.25">
      <c r="B29" s="40" t="s">
        <v>50</v>
      </c>
      <c r="C29" s="15" t="s">
        <v>99</v>
      </c>
      <c r="D29" s="96">
        <v>0</v>
      </c>
      <c r="E29" s="95">
        <f t="shared" si="1"/>
        <v>993</v>
      </c>
      <c r="F29" s="100">
        <f t="shared" si="2"/>
        <v>0</v>
      </c>
      <c r="G29" s="61">
        <f>IF(D30&lt;&gt;0,1,0)</f>
        <v>0</v>
      </c>
      <c r="H29" s="103" t="s">
        <v>71</v>
      </c>
      <c r="I29" s="18" t="s">
        <v>21</v>
      </c>
      <c r="J29" s="109">
        <f>IF(E17=T48,ROUNDUP(K13*K7/1000,0),0)</f>
        <v>8</v>
      </c>
      <c r="K29" s="145"/>
      <c r="M29" s="84"/>
      <c r="T29" s="105">
        <v>3</v>
      </c>
    </row>
    <row r="30" spans="2:20" s="25" customFormat="1" ht="20.100000000000001" customHeight="1" thickBot="1" x14ac:dyDescent="0.3">
      <c r="B30" s="64" t="s">
        <v>51</v>
      </c>
      <c r="C30" s="16" t="s">
        <v>99</v>
      </c>
      <c r="D30" s="97">
        <v>0</v>
      </c>
      <c r="E30" s="98">
        <f t="shared" si="1"/>
        <v>993</v>
      </c>
      <c r="F30" s="101">
        <f t="shared" si="2"/>
        <v>0</v>
      </c>
      <c r="H30" s="40" t="s">
        <v>70</v>
      </c>
      <c r="I30" s="50" t="s">
        <v>16</v>
      </c>
      <c r="J30" s="143">
        <f>IF(J29&gt;0,K13*2,0)</f>
        <v>8</v>
      </c>
      <c r="K30" s="146"/>
      <c r="L30" s="85"/>
      <c r="T30" s="105">
        <v>4</v>
      </c>
    </row>
    <row r="31" spans="2:20" ht="20.100000000000001" customHeight="1" x14ac:dyDescent="0.3">
      <c r="B31" s="25"/>
      <c r="C31" s="25"/>
      <c r="D31" s="25"/>
      <c r="E31" s="25"/>
      <c r="F31" s="25"/>
      <c r="G31" s="25"/>
      <c r="H31" s="40" t="s">
        <v>89</v>
      </c>
      <c r="I31" s="50" t="s">
        <v>22</v>
      </c>
      <c r="J31" s="109">
        <f>ROUNDUP(K13*K7/1000,0)</f>
        <v>8</v>
      </c>
      <c r="K31" s="110"/>
      <c r="L31" s="86"/>
    </row>
    <row r="32" spans="2:20" ht="20.100000000000001" customHeight="1" x14ac:dyDescent="0.3">
      <c r="B32" s="25"/>
      <c r="C32" s="66" t="str">
        <f>IF((SUM(G25:G29)/C22)&lt;&gt;1,T18,T19)</f>
        <v>Correct insert heights</v>
      </c>
      <c r="D32" s="23">
        <f>IF(C32=T19,1,0)</f>
        <v>1</v>
      </c>
      <c r="E32" s="25"/>
      <c r="F32" s="25"/>
      <c r="G32" s="25"/>
      <c r="H32" s="40" t="s">
        <v>39</v>
      </c>
      <c r="I32" s="50" t="s">
        <v>104</v>
      </c>
      <c r="J32" s="109">
        <f>IF(E15=T37,ROUNDUP((J12+40)*2/1000,0),0)</f>
        <v>0</v>
      </c>
      <c r="K32" s="110"/>
    </row>
    <row r="33" spans="2:20" ht="21" customHeight="1" x14ac:dyDescent="0.3">
      <c r="B33" s="25"/>
      <c r="C33" s="25"/>
      <c r="D33" s="25"/>
      <c r="E33" s="25"/>
      <c r="F33" s="25"/>
      <c r="G33" s="25"/>
      <c r="H33" s="40" t="s">
        <v>74</v>
      </c>
      <c r="I33" s="50" t="s">
        <v>6</v>
      </c>
      <c r="J33" s="143">
        <f>K16*2</f>
        <v>0</v>
      </c>
      <c r="K33" s="144"/>
    </row>
    <row r="34" spans="2:20" ht="20.100000000000001" customHeight="1" thickBot="1" x14ac:dyDescent="0.35">
      <c r="B34" s="25"/>
      <c r="C34" s="67" t="str">
        <f>IF(AND(SUM(G25:G29)/C22=1,D30=0,C22&lt;&gt;1),T22,T23)</f>
        <v xml:space="preserve"> </v>
      </c>
      <c r="D34" s="67"/>
      <c r="E34" s="25"/>
      <c r="F34" s="25"/>
      <c r="G34" s="25"/>
      <c r="H34" s="43" t="s">
        <v>42</v>
      </c>
      <c r="I34" s="70" t="s">
        <v>17</v>
      </c>
      <c r="J34" s="131">
        <f>IF(E18=T37,E11,0)</f>
        <v>0</v>
      </c>
      <c r="K34" s="132"/>
      <c r="T34" s="17" t="s">
        <v>98</v>
      </c>
    </row>
    <row r="35" spans="2:20" ht="20.100000000000001" customHeight="1" thickBot="1" x14ac:dyDescent="0.35">
      <c r="B35" s="25"/>
      <c r="C35" s="25"/>
      <c r="D35" s="25"/>
      <c r="E35" s="25"/>
      <c r="F35" s="25"/>
      <c r="G35" s="25"/>
      <c r="H35" s="87"/>
      <c r="T35" s="17" t="s">
        <v>99</v>
      </c>
    </row>
    <row r="36" spans="2:20" ht="20.100000000000001" customHeight="1" thickBot="1" x14ac:dyDescent="0.35">
      <c r="B36" s="25"/>
      <c r="C36" s="24" t="str">
        <f xml:space="preserve"> IF(AND(C22&lt;&gt;1,C26=T13),T51,T52)</f>
        <v xml:space="preserve"> </v>
      </c>
      <c r="D36" s="25"/>
      <c r="E36" s="71" t="s">
        <v>53</v>
      </c>
      <c r="F36" s="102">
        <f>ROUNDUP(M26,0)</f>
        <v>19</v>
      </c>
      <c r="G36" s="25"/>
      <c r="H36" s="24" t="s">
        <v>106</v>
      </c>
      <c r="K36" s="88" t="s">
        <v>28</v>
      </c>
    </row>
    <row r="37" spans="2:20" ht="20.100000000000001" customHeight="1" x14ac:dyDescent="0.3">
      <c r="B37" s="25"/>
      <c r="C37" s="25"/>
      <c r="G37" s="25"/>
      <c r="T37" s="24" t="s">
        <v>92</v>
      </c>
    </row>
    <row r="38" spans="2:20" x14ac:dyDescent="0.3">
      <c r="B38" s="25"/>
      <c r="E38" s="25"/>
      <c r="F38" s="25"/>
      <c r="G38" s="25"/>
      <c r="T38" s="25" t="s">
        <v>93</v>
      </c>
    </row>
    <row r="39" spans="2:20" x14ac:dyDescent="0.3">
      <c r="G39" s="25"/>
    </row>
    <row r="40" spans="2:20" x14ac:dyDescent="0.3">
      <c r="G40" s="25"/>
    </row>
    <row r="41" spans="2:20" x14ac:dyDescent="0.3">
      <c r="G41" s="25"/>
    </row>
    <row r="42" spans="2:20" x14ac:dyDescent="0.3">
      <c r="G42" s="25"/>
      <c r="T42" s="24" t="s">
        <v>93</v>
      </c>
    </row>
    <row r="43" spans="2:20" x14ac:dyDescent="0.3">
      <c r="T43" s="24" t="s">
        <v>94</v>
      </c>
    </row>
    <row r="44" spans="2:20" x14ac:dyDescent="0.3">
      <c r="T44" s="24" t="s">
        <v>95</v>
      </c>
    </row>
    <row r="47" spans="2:20" x14ac:dyDescent="0.3">
      <c r="T47" s="19" t="s">
        <v>112</v>
      </c>
    </row>
    <row r="48" spans="2:20" x14ac:dyDescent="0.3">
      <c r="T48" s="20" t="s">
        <v>96</v>
      </c>
    </row>
    <row r="49" spans="20:20" x14ac:dyDescent="0.3">
      <c r="T49" s="19"/>
    </row>
    <row r="51" spans="20:20" x14ac:dyDescent="0.3">
      <c r="T51" s="24" t="s">
        <v>97</v>
      </c>
    </row>
    <row r="52" spans="20:20" x14ac:dyDescent="0.3">
      <c r="T52" s="24" t="s">
        <v>0</v>
      </c>
    </row>
  </sheetData>
  <sheetProtection algorithmName="SHA-512" hashValue="8TCSLhy93wLLoWi5YOSBP2D3Lv6fXq/bVkfnjHhztLD2n/iRv3zv1odlbGWkcdrmkm9ENxq/kQscpultGkEBjQ==" saltValue="10WrFsDt17YPKRY8UT52hg==" spinCount="100000" sheet="1" selectLockedCells="1"/>
  <mergeCells count="46">
    <mergeCell ref="E15:F15"/>
    <mergeCell ref="E16:F16"/>
    <mergeCell ref="E17:F17"/>
    <mergeCell ref="B7:D7"/>
    <mergeCell ref="B8:D8"/>
    <mergeCell ref="B9:D9"/>
    <mergeCell ref="B10:D10"/>
    <mergeCell ref="B11:D11"/>
    <mergeCell ref="B12:D12"/>
    <mergeCell ref="B13:D13"/>
    <mergeCell ref="B15:D15"/>
    <mergeCell ref="B16:D16"/>
    <mergeCell ref="B17:D17"/>
    <mergeCell ref="B14:D14"/>
    <mergeCell ref="E14:F14"/>
    <mergeCell ref="J34:K34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8:K28"/>
    <mergeCell ref="J33:K33"/>
    <mergeCell ref="J27:K27"/>
    <mergeCell ref="J29:K29"/>
    <mergeCell ref="J30:K30"/>
    <mergeCell ref="B2:K2"/>
    <mergeCell ref="J31:K31"/>
    <mergeCell ref="J32:K32"/>
    <mergeCell ref="B3:K3"/>
    <mergeCell ref="B5:E5"/>
    <mergeCell ref="H5:K5"/>
    <mergeCell ref="H7:I8"/>
    <mergeCell ref="E18:F18"/>
    <mergeCell ref="B18:D18"/>
    <mergeCell ref="E7:F7"/>
    <mergeCell ref="E8:F8"/>
    <mergeCell ref="E9:F9"/>
    <mergeCell ref="E10:F10"/>
    <mergeCell ref="E11:F11"/>
    <mergeCell ref="E12:F12"/>
    <mergeCell ref="E13:F13"/>
  </mergeCells>
  <conditionalFormatting sqref="C32">
    <cfRule type="expression" dxfId="15" priority="7">
      <formula>$C$32=$T$18</formula>
    </cfRule>
    <cfRule type="expression" dxfId="14" priority="8">
      <formula>$C$32=$T$19</formula>
    </cfRule>
  </conditionalFormatting>
  <conditionalFormatting sqref="C34">
    <cfRule type="expression" dxfId="13" priority="3">
      <formula>$C$34=$T$22</formula>
    </cfRule>
  </conditionalFormatting>
  <conditionalFormatting sqref="C26 C36">
    <cfRule type="expression" dxfId="12" priority="2">
      <formula>$C$36=$T$51</formula>
    </cfRule>
  </conditionalFormatting>
  <dataValidations count="10">
    <dataValidation type="whole" allowBlank="1" showInputMessage="1" showErrorMessage="1" sqref="E11">
      <formula1>1</formula1>
      <formula2>4</formula2>
    </dataValidation>
    <dataValidation type="whole" allowBlank="1" showInputMessage="1" showErrorMessage="1" sqref="E10">
      <formula1>1</formula1>
      <formula2>5</formula2>
    </dataValidation>
    <dataValidation type="list" operator="greaterThan" allowBlank="1" showInputMessage="1" showErrorMessage="1" sqref="E13">
      <formula1>$T$26:$T$30</formula1>
    </dataValidation>
    <dataValidation type="whole" allowBlank="1" showInputMessage="1" showErrorMessage="1" errorTitle="Неверное количество" error="Не более двух доводчиков на одну дверь." sqref="E12">
      <formula1>0</formula1>
      <formula2>E10*2</formula2>
    </dataValidation>
    <dataValidation type="list" allowBlank="1" showInputMessage="1" showErrorMessage="1" sqref="E9">
      <formula1>$T$4:$T$8</formula1>
    </dataValidation>
    <dataValidation type="list" allowBlank="1" showInputMessage="1" showErrorMessage="1" sqref="C26">
      <formula1>$T$12:$T$14</formula1>
    </dataValidation>
    <dataValidation type="list" allowBlank="1" showInputMessage="1" showErrorMessage="1" sqref="C27:C30">
      <formula1>$T$34:$T$35</formula1>
    </dataValidation>
    <dataValidation type="list" allowBlank="1" showInputMessage="1" showErrorMessage="1" sqref="E16">
      <formula1>$T$42:$T$44</formula1>
    </dataValidation>
    <dataValidation type="list" allowBlank="1" showInputMessage="1" showErrorMessage="1" sqref="E17">
      <formula1>$T$47:$T$48</formula1>
    </dataValidation>
    <dataValidation type="list" allowBlank="1" showInputMessage="1" showErrorMessage="1" sqref="E18 E15 E14:F14">
      <formula1>$T$37:$T$38</formula1>
    </dataValidation>
  </dataValidations>
  <hyperlinks>
    <hyperlink ref="K36" location="Contents!A1" display="оглавление"/>
  </hyperlink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FB184399-AE79-4CCF-B7D7-AF8B8616D2C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Y58"/>
  <sheetViews>
    <sheetView zoomScale="70" zoomScaleNormal="70" workbookViewId="0">
      <selection activeCell="E7" sqref="E7:F7"/>
    </sheetView>
  </sheetViews>
  <sheetFormatPr defaultColWidth="9.140625" defaultRowHeight="18.75" x14ac:dyDescent="0.3"/>
  <cols>
    <col min="1" max="1" width="2.5703125" style="24" customWidth="1"/>
    <col min="2" max="3" width="43.7109375" style="24" customWidth="1"/>
    <col min="4" max="4" width="14.7109375" style="24" customWidth="1"/>
    <col min="5" max="6" width="14.7109375" style="23" customWidth="1"/>
    <col min="7" max="7" width="3.140625" style="24" customWidth="1"/>
    <col min="8" max="8" width="78.7109375" style="24" customWidth="1"/>
    <col min="9" max="9" width="20.28515625" style="24" customWidth="1"/>
    <col min="10" max="10" width="16.7109375" style="24" customWidth="1"/>
    <col min="11" max="11" width="13.42578125" style="24" customWidth="1"/>
    <col min="12" max="12" width="13.42578125" style="24" hidden="1" customWidth="1"/>
    <col min="13" max="13" width="9.5703125" style="24" hidden="1" customWidth="1"/>
    <col min="14" max="22" width="9.140625" style="24"/>
    <col min="23" max="23" width="9.140625" style="24" customWidth="1"/>
    <col min="24" max="24" width="23.28515625" style="24" hidden="1" customWidth="1"/>
    <col min="25" max="25" width="9.140625" style="24" hidden="1" customWidth="1"/>
    <col min="26" max="16384" width="9.140625" style="24"/>
  </cols>
  <sheetData>
    <row r="1" spans="2:25" x14ac:dyDescent="0.3">
      <c r="B1" s="22"/>
      <c r="C1" s="22"/>
      <c r="D1" s="22"/>
    </row>
    <row r="2" spans="2:25" s="25" customFormat="1" ht="27.6" customHeight="1" x14ac:dyDescent="0.25">
      <c r="B2" s="108" t="s">
        <v>26</v>
      </c>
      <c r="C2" s="108"/>
      <c r="D2" s="108"/>
      <c r="E2" s="108"/>
      <c r="F2" s="108"/>
      <c r="G2" s="108"/>
      <c r="H2" s="108"/>
      <c r="I2" s="108"/>
      <c r="J2" s="108"/>
      <c r="K2" s="108"/>
      <c r="X2" s="26" t="s">
        <v>85</v>
      </c>
      <c r="Y2" s="25" t="s">
        <v>62</v>
      </c>
    </row>
    <row r="3" spans="2:25" s="26" customFormat="1" ht="26.1" customHeight="1" x14ac:dyDescent="0.25">
      <c r="B3" s="185" t="s">
        <v>80</v>
      </c>
      <c r="C3" s="185"/>
      <c r="D3" s="185"/>
      <c r="E3" s="185"/>
      <c r="F3" s="185"/>
      <c r="G3" s="186"/>
      <c r="H3" s="186"/>
      <c r="I3" s="186"/>
      <c r="J3" s="186"/>
      <c r="K3" s="186"/>
      <c r="X3" s="26" t="s">
        <v>115</v>
      </c>
      <c r="Y3" s="25" t="s">
        <v>111</v>
      </c>
    </row>
    <row r="4" spans="2:25" s="26" customFormat="1" ht="20.100000000000001" customHeight="1" x14ac:dyDescent="0.3">
      <c r="B4" s="27"/>
      <c r="C4" s="27"/>
      <c r="D4" s="27"/>
      <c r="E4" s="27"/>
      <c r="F4" s="27"/>
      <c r="H4" s="28"/>
      <c r="I4" s="28"/>
      <c r="J4" s="28"/>
      <c r="K4" s="28"/>
    </row>
    <row r="5" spans="2:25" s="26" customFormat="1" ht="20.100000000000001" customHeight="1" x14ac:dyDescent="0.25">
      <c r="B5" s="112" t="s">
        <v>29</v>
      </c>
      <c r="C5" s="112"/>
      <c r="D5" s="112"/>
      <c r="E5" s="112"/>
      <c r="F5" s="112"/>
      <c r="H5" s="112" t="s">
        <v>30</v>
      </c>
      <c r="I5" s="112"/>
      <c r="J5" s="112"/>
      <c r="K5" s="112"/>
      <c r="X5" s="29" t="s">
        <v>1</v>
      </c>
    </row>
    <row r="6" spans="2:25" s="26" customFormat="1" ht="20.100000000000001" customHeight="1" thickBot="1" x14ac:dyDescent="0.3">
      <c r="B6" s="30"/>
      <c r="C6" s="30"/>
      <c r="D6" s="30"/>
      <c r="E6" s="30"/>
      <c r="F6" s="30"/>
      <c r="H6" s="30"/>
      <c r="I6" s="30"/>
      <c r="J6" s="30"/>
      <c r="K6" s="30"/>
      <c r="X6" s="29" t="s">
        <v>2</v>
      </c>
    </row>
    <row r="7" spans="2:25" s="25" customFormat="1" ht="20.100000000000001" customHeight="1" x14ac:dyDescent="0.25">
      <c r="B7" s="151" t="s">
        <v>81</v>
      </c>
      <c r="C7" s="152"/>
      <c r="D7" s="152"/>
      <c r="E7" s="121">
        <v>2000</v>
      </c>
      <c r="F7" s="122"/>
      <c r="H7" s="113" t="s">
        <v>31</v>
      </c>
      <c r="I7" s="114"/>
      <c r="J7" s="31" t="s">
        <v>45</v>
      </c>
      <c r="K7" s="107">
        <f>IF(E15=X39,E7+6,E7+12)</f>
        <v>2006</v>
      </c>
      <c r="X7" s="29" t="s">
        <v>3</v>
      </c>
    </row>
    <row r="8" spans="2:25" s="25" customFormat="1" ht="20.100000000000001" customHeight="1" thickBot="1" x14ac:dyDescent="0.3">
      <c r="B8" s="153" t="s">
        <v>82</v>
      </c>
      <c r="C8" s="154"/>
      <c r="D8" s="154"/>
      <c r="E8" s="123">
        <v>2000</v>
      </c>
      <c r="F8" s="124"/>
      <c r="H8" s="115"/>
      <c r="I8" s="116"/>
      <c r="J8" s="32" t="s">
        <v>46</v>
      </c>
      <c r="K8" s="90">
        <f>ROUNDUP(IF(AND(E18=X49,E9=X8),(E8-20+E11*10)/E10,
IF(AND(E18=X49,E9&lt;&gt;X8),(E8-10+E11*10)/E10,(E8+E11*10)/E10)),0)</f>
        <v>1000</v>
      </c>
      <c r="X8" s="29" t="s">
        <v>4</v>
      </c>
    </row>
    <row r="9" spans="2:25" s="25" customFormat="1" ht="20.100000000000001" customHeight="1" thickBot="1" x14ac:dyDescent="0.3">
      <c r="B9" s="155" t="s">
        <v>34</v>
      </c>
      <c r="C9" s="156"/>
      <c r="D9" s="156"/>
      <c r="E9" s="125" t="s">
        <v>1</v>
      </c>
      <c r="F9" s="126"/>
      <c r="H9" s="33"/>
      <c r="I9" s="33"/>
      <c r="J9" s="34"/>
      <c r="K9" s="1"/>
      <c r="X9" s="29" t="s">
        <v>5</v>
      </c>
    </row>
    <row r="10" spans="2:25" s="25" customFormat="1" ht="20.100000000000001" customHeight="1" x14ac:dyDescent="0.25">
      <c r="B10" s="153" t="s">
        <v>35</v>
      </c>
      <c r="C10" s="154"/>
      <c r="D10" s="154"/>
      <c r="E10" s="127">
        <f>IF(E9=X5,2,IF(E9=X6,3,IF(E9=X7,4,IF(E9=X8,4,IF(E9=X9,5)))))</f>
        <v>2</v>
      </c>
      <c r="F10" s="128"/>
      <c r="H10" s="35" t="s">
        <v>54</v>
      </c>
      <c r="I10" s="36" t="s">
        <v>58</v>
      </c>
      <c r="J10" s="31" t="s">
        <v>56</v>
      </c>
      <c r="K10" s="37" t="s">
        <v>57</v>
      </c>
    </row>
    <row r="11" spans="2:25" s="25" customFormat="1" ht="20.100000000000001" customHeight="1" x14ac:dyDescent="0.3">
      <c r="B11" s="153" t="s">
        <v>36</v>
      </c>
      <c r="C11" s="154"/>
      <c r="D11" s="154"/>
      <c r="E11" s="127">
        <f>IF(E9=X5,1,IF(E9=X6,2,IF(E9=X7,3,IF(E9=X8,2,IF(E9=X9,4)))))</f>
        <v>1</v>
      </c>
      <c r="F11" s="128"/>
      <c r="H11" s="38" t="s">
        <v>61</v>
      </c>
      <c r="I11" s="39" t="s">
        <v>8</v>
      </c>
      <c r="J11" s="99">
        <f>E8-2-32</f>
        <v>1966</v>
      </c>
      <c r="K11" s="2">
        <v>1</v>
      </c>
      <c r="L11" s="24"/>
    </row>
    <row r="12" spans="2:25" s="25" customFormat="1" ht="20.100000000000001" customHeight="1" x14ac:dyDescent="0.3">
      <c r="B12" s="153" t="s">
        <v>83</v>
      </c>
      <c r="C12" s="154"/>
      <c r="D12" s="154"/>
      <c r="E12" s="129">
        <v>2</v>
      </c>
      <c r="F12" s="130"/>
      <c r="H12" s="38" t="str">
        <f>IF(E15=X39,X2,X3)</f>
        <v>Double Bottom Track</v>
      </c>
      <c r="I12" s="39" t="str">
        <f>IF(E15=X39,Y2,Y3)</f>
        <v>CKRU0504/0403</v>
      </c>
      <c r="J12" s="99">
        <f>E8-2</f>
        <v>1998</v>
      </c>
      <c r="K12" s="2">
        <f>IF(E15=X39,1,2)</f>
        <v>1</v>
      </c>
      <c r="L12" s="24"/>
    </row>
    <row r="13" spans="2:25" s="25" customFormat="1" ht="20.100000000000001" customHeight="1" x14ac:dyDescent="0.3">
      <c r="B13" s="153" t="s">
        <v>84</v>
      </c>
      <c r="C13" s="154"/>
      <c r="D13" s="154"/>
      <c r="E13" s="129">
        <v>2</v>
      </c>
      <c r="F13" s="130"/>
      <c r="H13" s="89" t="s">
        <v>63</v>
      </c>
      <c r="I13" s="41" t="s">
        <v>7</v>
      </c>
      <c r="J13" s="92">
        <f>K7</f>
        <v>2006</v>
      </c>
      <c r="K13" s="3">
        <f>E10*2</f>
        <v>4</v>
      </c>
      <c r="L13" s="24">
        <v>0.29799999999999999</v>
      </c>
      <c r="M13" s="25">
        <f t="shared" ref="M13:M15" si="0">L13*J13*K13/1000</f>
        <v>2.3911519999999999</v>
      </c>
      <c r="X13" s="17" t="s">
        <v>98</v>
      </c>
    </row>
    <row r="14" spans="2:25" s="25" customFormat="1" ht="20.100000000000001" customHeight="1" x14ac:dyDescent="0.3">
      <c r="B14" s="163" t="s">
        <v>38</v>
      </c>
      <c r="C14" s="164"/>
      <c r="D14" s="165"/>
      <c r="E14" s="168">
        <v>0</v>
      </c>
      <c r="F14" s="169"/>
      <c r="H14" s="40" t="s">
        <v>86</v>
      </c>
      <c r="I14" s="42" t="s">
        <v>10</v>
      </c>
      <c r="J14" s="92">
        <f>K8-2*9.7</f>
        <v>980.6</v>
      </c>
      <c r="K14" s="3">
        <f>E10*2</f>
        <v>4</v>
      </c>
      <c r="L14" s="24">
        <v>0.56000000000000005</v>
      </c>
      <c r="M14" s="25">
        <f t="shared" si="0"/>
        <v>2.1965440000000003</v>
      </c>
      <c r="X14" s="17" t="s">
        <v>100</v>
      </c>
    </row>
    <row r="15" spans="2:25" s="25" customFormat="1" ht="20.100000000000001" customHeight="1" thickBot="1" x14ac:dyDescent="0.35">
      <c r="B15" s="159" t="s">
        <v>115</v>
      </c>
      <c r="C15" s="160"/>
      <c r="D15" s="160"/>
      <c r="E15" s="172" t="s">
        <v>93</v>
      </c>
      <c r="F15" s="173"/>
      <c r="H15" s="43" t="s">
        <v>66</v>
      </c>
      <c r="I15" s="44" t="s">
        <v>11</v>
      </c>
      <c r="J15" s="93">
        <f>J14</f>
        <v>980.6</v>
      </c>
      <c r="K15" s="4">
        <f>E14*E10</f>
        <v>0</v>
      </c>
      <c r="L15" s="24">
        <v>0.312</v>
      </c>
      <c r="M15" s="25">
        <f t="shared" si="0"/>
        <v>0</v>
      </c>
      <c r="X15" s="17" t="s">
        <v>99</v>
      </c>
    </row>
    <row r="16" spans="2:25" s="25" customFormat="1" ht="20.100000000000001" customHeight="1" thickBot="1" x14ac:dyDescent="0.3">
      <c r="B16" s="182" t="s">
        <v>39</v>
      </c>
      <c r="C16" s="183"/>
      <c r="D16" s="184"/>
      <c r="E16" s="166" t="s">
        <v>93</v>
      </c>
      <c r="F16" s="167"/>
      <c r="H16" s="72"/>
      <c r="I16" s="77"/>
      <c r="J16" s="78"/>
      <c r="K16" s="79"/>
      <c r="M16" s="48">
        <f>SUM(M13:M15)/E10</f>
        <v>2.2938480000000001</v>
      </c>
    </row>
    <row r="17" spans="2:24" s="25" customFormat="1" ht="20.100000000000001" customHeight="1" x14ac:dyDescent="0.25">
      <c r="B17" s="182" t="s">
        <v>40</v>
      </c>
      <c r="C17" s="183"/>
      <c r="D17" s="184"/>
      <c r="E17" s="166" t="s">
        <v>93</v>
      </c>
      <c r="F17" s="167"/>
      <c r="H17" s="49" t="s">
        <v>55</v>
      </c>
      <c r="I17" s="36" t="s">
        <v>58</v>
      </c>
      <c r="J17" s="133" t="s">
        <v>57</v>
      </c>
      <c r="K17" s="134"/>
    </row>
    <row r="18" spans="2:24" s="25" customFormat="1" ht="20.100000000000001" customHeight="1" x14ac:dyDescent="0.25">
      <c r="B18" s="179" t="s">
        <v>41</v>
      </c>
      <c r="C18" s="180"/>
      <c r="D18" s="181"/>
      <c r="E18" s="170" t="s">
        <v>96</v>
      </c>
      <c r="F18" s="171"/>
      <c r="H18" s="40" t="str">
        <f>'Visible Top Track'!H19</f>
        <v xml:space="preserve">Rollers Set </v>
      </c>
      <c r="I18" s="50" t="s">
        <v>12</v>
      </c>
      <c r="J18" s="135">
        <f>E10</f>
        <v>2</v>
      </c>
      <c r="K18" s="136"/>
      <c r="M18" s="25">
        <f>IF(C27=$X$13,((D27*E27*F27/$E$10)/1000000)*8,IF(C27=$X$14,((D27*E27*F27/$E$10)/1000000)*6.5,((D27*E27*F27/$E$10)/1000000)*11))</f>
        <v>21.846</v>
      </c>
    </row>
    <row r="19" spans="2:24" s="25" customFormat="1" ht="20.100000000000001" customHeight="1" thickBot="1" x14ac:dyDescent="0.3">
      <c r="B19" s="174" t="s">
        <v>42</v>
      </c>
      <c r="C19" s="175"/>
      <c r="D19" s="176"/>
      <c r="E19" s="177" t="s">
        <v>93</v>
      </c>
      <c r="F19" s="178"/>
      <c r="H19" s="89" t="s">
        <v>87</v>
      </c>
      <c r="I19" s="51" t="s">
        <v>24</v>
      </c>
      <c r="J19" s="135">
        <f>ROUNDUP(IF(E9=X5,2+E12,IF(OR(E9=X6,E9=X7,E9=X8),4+E12,6+E12))/2,0)</f>
        <v>2</v>
      </c>
      <c r="K19" s="136"/>
      <c r="M19" s="25">
        <f>IF(C28=$X$13,((D28*E28*F28/$E$10)/1000000)*8,IF(C28=$X$14,((D28*E28*F28/$E$10)/1000000)*6.5,((D28*E28*F28/$E$10)/1000000)*11))</f>
        <v>0</v>
      </c>
      <c r="X19" s="25" t="s">
        <v>101</v>
      </c>
    </row>
    <row r="20" spans="2:24" s="25" customFormat="1" ht="20.100000000000001" customHeight="1" x14ac:dyDescent="0.25">
      <c r="H20" s="89" t="s">
        <v>88</v>
      </c>
      <c r="I20" s="51" t="s">
        <v>25</v>
      </c>
      <c r="J20" s="135">
        <f>ROUNDUP(IF(OR(E9=X5,E9=X6),2+E13,4+E13)/2,0)</f>
        <v>2</v>
      </c>
      <c r="K20" s="136"/>
      <c r="M20" s="25">
        <f>IF(C29=$X$13,((D29*E29*F29/$E$10)/1000000)*8,IF(C29=$X$14,((D29*E29*F29/$E$10)/1000000)*6.5,((D29*E29*F29/$E$10)/1000000)*11))</f>
        <v>0</v>
      </c>
      <c r="X20" s="25" t="s">
        <v>102</v>
      </c>
    </row>
    <row r="21" spans="2:24" s="25" customFormat="1" ht="20.100000000000001" customHeight="1" x14ac:dyDescent="0.25">
      <c r="B21" s="104" t="s">
        <v>43</v>
      </c>
      <c r="H21" s="89" t="s">
        <v>77</v>
      </c>
      <c r="I21" s="21" t="s">
        <v>78</v>
      </c>
      <c r="J21" s="137">
        <f>ROUNDUP(IF(AND(C37&lt;&gt;X52,C27=X14),(D27+E27)*2*F27,0)/1000,0)</f>
        <v>0</v>
      </c>
      <c r="K21" s="138"/>
      <c r="M21" s="25">
        <f>IF(C30=$X$13,((D30*E30*F30/$E$10)/1000000)*8,IF(C30=$X$14,((D30*E30*F30/$E$10)/1000000)*6.5,((D30*E30*F30/$E$10)/1000000)*11))</f>
        <v>0</v>
      </c>
    </row>
    <row r="22" spans="2:24" s="25" customFormat="1" ht="20.100000000000001" customHeight="1" thickBot="1" x14ac:dyDescent="0.3">
      <c r="B22" s="104" t="s">
        <v>113</v>
      </c>
      <c r="H22" s="89" t="s">
        <v>76</v>
      </c>
      <c r="I22" s="21" t="s">
        <v>79</v>
      </c>
      <c r="J22" s="137">
        <f>ROUNDUP((IF(AND(E14&lt;&gt;0,C27=X15),(D27+E27+D27)*F27,IF(AND(E14=0,C27=X15),(D27+E27)*2*F27,0))
+IF(C28=X15,D28*2*F28,0)
+IF(C29=X15,D29*2*F29,0)
+IF(C30=X15,D30*2*F30,0)
+IF(C31=X15,(D31+E31+D31)*F31,0))/1000,0)</f>
        <v>12</v>
      </c>
      <c r="K22" s="138"/>
      <c r="M22" s="25">
        <f>IF(C31=$X$13,((D31*E31*F31/$E$10)/1000000)*8,IF(C31=$X$14,((D31*E31*F31/$E$10)/1000000)*6.5,((D31*E31*F31/$E$10)/1000000)*11))</f>
        <v>0</v>
      </c>
    </row>
    <row r="23" spans="2:24" s="25" customFormat="1" ht="20.100000000000001" customHeight="1" thickBot="1" x14ac:dyDescent="0.35">
      <c r="D23" s="52"/>
      <c r="E23" s="52"/>
      <c r="F23" s="52"/>
      <c r="H23" s="65" t="s">
        <v>73</v>
      </c>
      <c r="I23" s="21" t="s">
        <v>72</v>
      </c>
      <c r="J23" s="137">
        <f>ROUNDUP((IF(AND(E14&lt;&gt;0,C27=X15),E27*F27,0)
+IF(C28=X15,E28*2*F28,0)
+IF(C29=X15,E29*2*F29,0)
+IF(C30=X15,E30*2*F30,0)
+IF(C31=X15,E31*F31,0))/1000,0)</f>
        <v>0</v>
      </c>
      <c r="K23" s="138"/>
      <c r="M23" s="48">
        <f>SUM(M18:M22)</f>
        <v>21.846</v>
      </c>
      <c r="X23" s="24" t="s">
        <v>103</v>
      </c>
    </row>
    <row r="24" spans="2:24" s="25" customFormat="1" ht="20.100000000000001" customHeight="1" thickBot="1" x14ac:dyDescent="0.35">
      <c r="B24" s="53" t="s">
        <v>44</v>
      </c>
      <c r="C24" s="54">
        <f>E14+1</f>
        <v>1</v>
      </c>
      <c r="H24" s="89" t="s">
        <v>114</v>
      </c>
      <c r="I24" s="50" t="s">
        <v>13</v>
      </c>
      <c r="J24" s="135">
        <f>IF(M25&lt;30,ROUNDUP(SUM(E12:F13)/2,0),0)</f>
        <v>2</v>
      </c>
      <c r="K24" s="136"/>
      <c r="X24" s="24" t="s">
        <v>0</v>
      </c>
    </row>
    <row r="25" spans="2:24" s="25" customFormat="1" ht="20.100000000000001" customHeight="1" thickBot="1" x14ac:dyDescent="0.3">
      <c r="H25" s="89" t="s">
        <v>114</v>
      </c>
      <c r="I25" s="50" t="s">
        <v>14</v>
      </c>
      <c r="J25" s="135">
        <f>IF(AND(M25&gt;=30,M25&lt;50),ROUNDUP(SUM(E12:F13)/2,0),0)</f>
        <v>0</v>
      </c>
      <c r="K25" s="136"/>
      <c r="L25" s="59" t="s">
        <v>23</v>
      </c>
      <c r="M25" s="60">
        <f>(M23+M16)*1.05</f>
        <v>25.346840400000001</v>
      </c>
    </row>
    <row r="26" spans="2:24" s="25" customFormat="1" ht="20.100000000000001" customHeight="1" x14ac:dyDescent="0.25">
      <c r="B26" s="55" t="s">
        <v>47</v>
      </c>
      <c r="C26" s="56" t="s">
        <v>59</v>
      </c>
      <c r="D26" s="56" t="s">
        <v>45</v>
      </c>
      <c r="E26" s="57" t="s">
        <v>46</v>
      </c>
      <c r="F26" s="58" t="s">
        <v>57</v>
      </c>
      <c r="G26" s="61">
        <f>IF(D27&lt;&gt;0,1,0)</f>
        <v>1</v>
      </c>
      <c r="H26" s="89" t="s">
        <v>114</v>
      </c>
      <c r="I26" s="50" t="s">
        <v>15</v>
      </c>
      <c r="J26" s="135">
        <f>IF(AND(M25&gt;=50,M25&lt;70),ROUNDUP(SUM(E12:F13)/2,0),0)</f>
        <v>0</v>
      </c>
      <c r="K26" s="136"/>
    </row>
    <row r="27" spans="2:24" s="25" customFormat="1" ht="20.100000000000001" customHeight="1" x14ac:dyDescent="0.25">
      <c r="B27" s="89" t="s">
        <v>52</v>
      </c>
      <c r="C27" s="15" t="s">
        <v>99</v>
      </c>
      <c r="D27" s="94">
        <f>ROUNDDOWN(K7-IF(D31=0,0,IF(C31=X13,D31,IF(C31=X14,D31+2,D31+3)))-IF(D30=0,0,IF(C30=X13,D30,IF(C30=X14,D30+2,D30+3)))-IF(D29=0,0,IF(C29=X13,D29,IF(C29=X14,D29+2,D29+3)))-IF(D28=0,0,IF(C28=X13,D28,IF(C28=X14,D28+2,D28+3)))-3-IF(C27=X14,2,IF(C27=X15,3,0))-E14*1.3,0)</f>
        <v>2000</v>
      </c>
      <c r="E27" s="95">
        <f>IF(C27=X13,K8-4,IF(C27=X14,K8-4-2,K8-4-3))</f>
        <v>993</v>
      </c>
      <c r="F27" s="100">
        <f>$E$10</f>
        <v>2</v>
      </c>
      <c r="G27" s="61">
        <f>IF(D28&lt;&gt;0,1,0)</f>
        <v>0</v>
      </c>
      <c r="H27" s="89" t="s">
        <v>69</v>
      </c>
      <c r="I27" s="50" t="s">
        <v>18</v>
      </c>
      <c r="J27" s="139">
        <f>IF(E17=X44,E10*2-SUM(E12:F13),0)</f>
        <v>0</v>
      </c>
      <c r="K27" s="140"/>
      <c r="X27" s="105">
        <v>0</v>
      </c>
    </row>
    <row r="28" spans="2:24" s="25" customFormat="1" ht="20.100000000000001" customHeight="1" x14ac:dyDescent="0.25">
      <c r="B28" s="89" t="s">
        <v>48</v>
      </c>
      <c r="C28" s="15" t="s">
        <v>99</v>
      </c>
      <c r="D28" s="96">
        <v>0</v>
      </c>
      <c r="E28" s="95">
        <f>IF(C28=$X$35,$K$8-4,$K$8-4-3)</f>
        <v>993</v>
      </c>
      <c r="F28" s="100">
        <f>IF(D28&lt;&gt;0,$E$10,0)</f>
        <v>0</v>
      </c>
      <c r="G28" s="61">
        <f>IF(D29&lt;&gt;0,1,0)</f>
        <v>0</v>
      </c>
      <c r="H28" s="89" t="s">
        <v>68</v>
      </c>
      <c r="I28" s="50" t="s">
        <v>19</v>
      </c>
      <c r="J28" s="139">
        <f>IF(E17=X45,E10*2-SUM(E12:F13),0)</f>
        <v>0</v>
      </c>
      <c r="K28" s="140"/>
      <c r="X28" s="106">
        <v>1</v>
      </c>
    </row>
    <row r="29" spans="2:24" s="25" customFormat="1" ht="20.100000000000001" customHeight="1" x14ac:dyDescent="0.3">
      <c r="B29" s="89" t="s">
        <v>49</v>
      </c>
      <c r="C29" s="15" t="s">
        <v>99</v>
      </c>
      <c r="D29" s="96">
        <v>0</v>
      </c>
      <c r="E29" s="95">
        <f t="shared" ref="E29:E31" si="1">IF(C29=$X$35,$K$8-4,$K$8-4-3)</f>
        <v>993</v>
      </c>
      <c r="F29" s="100">
        <f t="shared" ref="F29:F31" si="2">IF(D29&lt;&gt;0,$E$10,0)</f>
        <v>0</v>
      </c>
      <c r="G29" s="61">
        <f>IF(D30&lt;&gt;0,1,0)</f>
        <v>0</v>
      </c>
      <c r="H29" s="62" t="s">
        <v>75</v>
      </c>
      <c r="I29" s="63" t="s">
        <v>20</v>
      </c>
      <c r="J29" s="141">
        <f>IF(E18=X48,K14*2+K15*2,0)</f>
        <v>0</v>
      </c>
      <c r="K29" s="142"/>
      <c r="X29" s="105">
        <v>2</v>
      </c>
    </row>
    <row r="30" spans="2:24" s="25" customFormat="1" ht="20.100000000000001" customHeight="1" x14ac:dyDescent="0.25">
      <c r="B30" s="89" t="s">
        <v>50</v>
      </c>
      <c r="C30" s="15" t="s">
        <v>99</v>
      </c>
      <c r="D30" s="96">
        <v>0</v>
      </c>
      <c r="E30" s="95">
        <f t="shared" si="1"/>
        <v>993</v>
      </c>
      <c r="F30" s="100">
        <f t="shared" si="2"/>
        <v>0</v>
      </c>
      <c r="G30" s="61">
        <f>IF(D31&lt;&gt;0,1,0)</f>
        <v>0</v>
      </c>
      <c r="H30" s="103" t="s">
        <v>71</v>
      </c>
      <c r="I30" s="18" t="s">
        <v>21</v>
      </c>
      <c r="J30" s="109">
        <f>IF(E18=X49,ROUNDUP(J13*K13/1000,0),0)</f>
        <v>9</v>
      </c>
      <c r="K30" s="145"/>
      <c r="X30" s="105">
        <v>3</v>
      </c>
    </row>
    <row r="31" spans="2:24" s="25" customFormat="1" ht="20.100000000000001" customHeight="1" thickBot="1" x14ac:dyDescent="0.3">
      <c r="B31" s="64" t="s">
        <v>51</v>
      </c>
      <c r="C31" s="16" t="s">
        <v>99</v>
      </c>
      <c r="D31" s="97">
        <v>0</v>
      </c>
      <c r="E31" s="98">
        <f t="shared" si="1"/>
        <v>993</v>
      </c>
      <c r="F31" s="101">
        <f t="shared" si="2"/>
        <v>0</v>
      </c>
      <c r="H31" s="89" t="s">
        <v>70</v>
      </c>
      <c r="I31" s="50" t="s">
        <v>16</v>
      </c>
      <c r="J31" s="143">
        <f>IF(J30&gt;0,K13*2,0)</f>
        <v>8</v>
      </c>
      <c r="K31" s="146"/>
      <c r="X31" s="105">
        <v>4</v>
      </c>
    </row>
    <row r="32" spans="2:24" ht="19.5" customHeight="1" x14ac:dyDescent="0.3">
      <c r="B32" s="25"/>
      <c r="C32" s="25"/>
      <c r="D32" s="25"/>
      <c r="E32" s="25"/>
      <c r="F32" s="25"/>
      <c r="G32" s="25"/>
      <c r="H32" s="89" t="s">
        <v>89</v>
      </c>
      <c r="I32" s="50" t="s">
        <v>22</v>
      </c>
      <c r="J32" s="109">
        <f>ROUNDUP(K13*J13/1000,0)</f>
        <v>9</v>
      </c>
      <c r="K32" s="110"/>
    </row>
    <row r="33" spans="2:24" ht="19.5" customHeight="1" x14ac:dyDescent="0.3">
      <c r="B33" s="25"/>
      <c r="C33" s="66" t="str">
        <f>IF((SUM(G26:G30)/C24)&lt;&gt;1,X19,X20)</f>
        <v>Correct insert heights</v>
      </c>
      <c r="D33" s="23">
        <f>IF(C33=X20,1,0)</f>
        <v>1</v>
      </c>
      <c r="E33" s="25"/>
      <c r="F33" s="25"/>
      <c r="G33" s="25"/>
      <c r="H33" s="89" t="s">
        <v>39</v>
      </c>
      <c r="I33" s="50" t="s">
        <v>104</v>
      </c>
      <c r="J33" s="109">
        <f>IF(E16=X38,ROUNDUP((J12+40)*2/1000,0),0)</f>
        <v>0</v>
      </c>
      <c r="K33" s="110"/>
    </row>
    <row r="34" spans="2:24" ht="19.5" customHeight="1" x14ac:dyDescent="0.3">
      <c r="B34" s="25"/>
      <c r="C34" s="25"/>
      <c r="D34" s="25"/>
      <c r="E34" s="25"/>
      <c r="F34" s="25"/>
      <c r="G34" s="25"/>
      <c r="H34" s="89" t="s">
        <v>74</v>
      </c>
      <c r="I34" s="50" t="s">
        <v>6</v>
      </c>
      <c r="J34" s="143">
        <f>K15*2</f>
        <v>0</v>
      </c>
      <c r="K34" s="144"/>
    </row>
    <row r="35" spans="2:24" ht="20.100000000000001" customHeight="1" x14ac:dyDescent="0.3">
      <c r="B35" s="25"/>
      <c r="C35" s="67" t="str">
        <f>IF(AND(SUM(G26:G30)/C24=1,D31=0,C24&lt;&gt;1),X23,X24)</f>
        <v xml:space="preserve"> </v>
      </c>
      <c r="D35" s="67"/>
      <c r="E35" s="25"/>
      <c r="F35" s="25"/>
      <c r="G35" s="25"/>
      <c r="H35" s="40" t="s">
        <v>91</v>
      </c>
      <c r="I35" s="68"/>
      <c r="J35" s="143">
        <f>SUM(J19:K20)*8</f>
        <v>32</v>
      </c>
      <c r="K35" s="144"/>
      <c r="X35" s="17" t="s">
        <v>98</v>
      </c>
    </row>
    <row r="36" spans="2:24" ht="20.100000000000001" customHeight="1" thickBot="1" x14ac:dyDescent="0.35">
      <c r="B36" s="25"/>
      <c r="C36" s="25"/>
      <c r="D36" s="25"/>
      <c r="E36" s="25"/>
      <c r="F36" s="25"/>
      <c r="G36" s="25"/>
      <c r="H36" s="69" t="s">
        <v>90</v>
      </c>
      <c r="I36" s="70" t="s">
        <v>17</v>
      </c>
      <c r="J36" s="131">
        <f>IF(E19=X38,E11,0)</f>
        <v>0</v>
      </c>
      <c r="K36" s="132"/>
      <c r="X36" s="17" t="s">
        <v>99</v>
      </c>
    </row>
    <row r="37" spans="2:24" ht="19.5" customHeight="1" x14ac:dyDescent="0.3">
      <c r="B37" s="25"/>
      <c r="C37" s="24" t="str">
        <f xml:space="preserve"> IF(AND(C24&lt;&gt;1,C27=X14),X52,X53)</f>
        <v xml:space="preserve"> </v>
      </c>
      <c r="D37" s="67"/>
      <c r="E37" s="25"/>
      <c r="F37" s="25"/>
      <c r="G37" s="25"/>
    </row>
    <row r="38" spans="2:24" ht="19.5" customHeight="1" x14ac:dyDescent="0.3">
      <c r="B38" s="25"/>
      <c r="C38" s="25"/>
      <c r="D38" s="25"/>
      <c r="G38" s="25"/>
      <c r="H38" s="24" t="s">
        <v>107</v>
      </c>
      <c r="J38" s="73"/>
      <c r="K38" s="88" t="s">
        <v>28</v>
      </c>
      <c r="X38" s="24" t="s">
        <v>92</v>
      </c>
    </row>
    <row r="39" spans="2:24" ht="19.5" customHeight="1" thickBot="1" x14ac:dyDescent="0.35">
      <c r="B39" s="25"/>
      <c r="D39" s="23"/>
      <c r="G39" s="25"/>
      <c r="X39" s="25" t="s">
        <v>93</v>
      </c>
    </row>
    <row r="40" spans="2:24" ht="19.5" customHeight="1" thickBot="1" x14ac:dyDescent="0.35">
      <c r="D40" s="23"/>
      <c r="E40" s="71" t="s">
        <v>53</v>
      </c>
      <c r="F40" s="102">
        <f>ROUNDUP(M25,0)</f>
        <v>26</v>
      </c>
      <c r="G40" s="25"/>
      <c r="H40" s="24" t="s">
        <v>108</v>
      </c>
    </row>
    <row r="41" spans="2:24" ht="19.5" customHeight="1" x14ac:dyDescent="0.3">
      <c r="D41" s="23"/>
      <c r="G41" s="25"/>
    </row>
    <row r="42" spans="2:24" ht="20.100000000000001" hidden="1" customHeight="1" x14ac:dyDescent="0.3">
      <c r="D42" s="23"/>
      <c r="G42" s="25"/>
    </row>
    <row r="43" spans="2:24" x14ac:dyDescent="0.3">
      <c r="D43" s="23"/>
      <c r="H43" s="24" t="s">
        <v>110</v>
      </c>
      <c r="X43" s="24" t="s">
        <v>93</v>
      </c>
    </row>
    <row r="44" spans="2:24" x14ac:dyDescent="0.3">
      <c r="H44" s="24" t="s">
        <v>109</v>
      </c>
      <c r="X44" s="24" t="s">
        <v>94</v>
      </c>
    </row>
    <row r="45" spans="2:24" x14ac:dyDescent="0.3">
      <c r="D45" s="23"/>
      <c r="G45" s="25"/>
      <c r="X45" s="24" t="s">
        <v>95</v>
      </c>
    </row>
    <row r="48" spans="2:24" x14ac:dyDescent="0.3">
      <c r="X48" s="19" t="s">
        <v>112</v>
      </c>
    </row>
    <row r="49" spans="8:24" x14ac:dyDescent="0.3">
      <c r="X49" s="20" t="s">
        <v>96</v>
      </c>
    </row>
    <row r="50" spans="8:24" x14ac:dyDescent="0.3">
      <c r="X50" s="19"/>
    </row>
    <row r="52" spans="8:24" x14ac:dyDescent="0.3">
      <c r="X52" s="24" t="s">
        <v>97</v>
      </c>
    </row>
    <row r="53" spans="8:24" x14ac:dyDescent="0.3">
      <c r="I53" s="80"/>
      <c r="X53" s="24" t="s">
        <v>0</v>
      </c>
    </row>
    <row r="57" spans="8:24" ht="19.5" customHeight="1" x14ac:dyDescent="0.3"/>
    <row r="58" spans="8:24" x14ac:dyDescent="0.3">
      <c r="H58" s="81"/>
    </row>
  </sheetData>
  <sheetProtection algorithmName="SHA-512" hashValue="tzkcThIdAOKojuFZSZXRs6ovQB+RbdfuZqj+WOmJ5BI83WP99UnThkkMjT1ANk3JXrTn+KK+SQUHxWCI6FftbQ==" saltValue="XBMqmStCeBlgyodkK+jc9w==" spinCount="100000" sheet="1" selectLockedCells="1"/>
  <mergeCells count="51">
    <mergeCell ref="B11:D11"/>
    <mergeCell ref="B12:D12"/>
    <mergeCell ref="E8:F8"/>
    <mergeCell ref="B9:D9"/>
    <mergeCell ref="E9:F9"/>
    <mergeCell ref="E11:F11"/>
    <mergeCell ref="E12:F12"/>
    <mergeCell ref="B7:D7"/>
    <mergeCell ref="B8:D8"/>
    <mergeCell ref="B10:D10"/>
    <mergeCell ref="B2:K2"/>
    <mergeCell ref="B5:F5"/>
    <mergeCell ref="H5:K5"/>
    <mergeCell ref="E7:F7"/>
    <mergeCell ref="B3:K3"/>
    <mergeCell ref="H7:I8"/>
    <mergeCell ref="E10:F10"/>
    <mergeCell ref="J30:K30"/>
    <mergeCell ref="J33:K33"/>
    <mergeCell ref="J36:K36"/>
    <mergeCell ref="J32:K32"/>
    <mergeCell ref="J34:K34"/>
    <mergeCell ref="J31:K31"/>
    <mergeCell ref="J35:K35"/>
    <mergeCell ref="B13:D13"/>
    <mergeCell ref="J22:K22"/>
    <mergeCell ref="J23:K23"/>
    <mergeCell ref="J24:K24"/>
    <mergeCell ref="B18:D18"/>
    <mergeCell ref="B16:D16"/>
    <mergeCell ref="B17:D17"/>
    <mergeCell ref="J27:K27"/>
    <mergeCell ref="J28:K28"/>
    <mergeCell ref="J29:K29"/>
    <mergeCell ref="E13:F13"/>
    <mergeCell ref="J26:K26"/>
    <mergeCell ref="J25:K25"/>
    <mergeCell ref="E19:F19"/>
    <mergeCell ref="J17:K17"/>
    <mergeCell ref="B14:D14"/>
    <mergeCell ref="E16:F16"/>
    <mergeCell ref="E17:F17"/>
    <mergeCell ref="E14:F14"/>
    <mergeCell ref="J21:K21"/>
    <mergeCell ref="J18:K18"/>
    <mergeCell ref="J19:K19"/>
    <mergeCell ref="J20:K20"/>
    <mergeCell ref="E18:F18"/>
    <mergeCell ref="B15:D15"/>
    <mergeCell ref="E15:F15"/>
    <mergeCell ref="B19:D19"/>
  </mergeCells>
  <conditionalFormatting sqref="C33">
    <cfRule type="expression" dxfId="11" priority="11">
      <formula>$C$33=$X$19</formula>
    </cfRule>
    <cfRule type="expression" dxfId="10" priority="12">
      <formula>$C$33=$X$20</formula>
    </cfRule>
  </conditionalFormatting>
  <conditionalFormatting sqref="C35">
    <cfRule type="expression" dxfId="9" priority="13">
      <formula>$C$35=$X$23</formula>
    </cfRule>
  </conditionalFormatting>
  <conditionalFormatting sqref="C27 C37">
    <cfRule type="expression" dxfId="8" priority="14">
      <formula>$C$37=$X$52</formula>
    </cfRule>
  </conditionalFormatting>
  <conditionalFormatting sqref="E12:F12">
    <cfRule type="expression" dxfId="7" priority="2">
      <formula>OR(AND(E9=X5,E12&gt;2),AND(OR(E9=X6,E9=X7,E9=X8),E12&gt;4),AND(E9=X9,E12&gt;6))</formula>
    </cfRule>
  </conditionalFormatting>
  <conditionalFormatting sqref="E13:F13">
    <cfRule type="expression" dxfId="6" priority="1">
      <formula>OR(AND(OR(E9=X6,E9=X5),E13&gt;2),AND(OR(E9=X7,E9=X8,E9=X9),E13&gt;4))</formula>
    </cfRule>
  </conditionalFormatting>
  <dataValidations count="11">
    <dataValidation type="whole" allowBlank="1" showInputMessage="1" showErrorMessage="1" errorTitle="Неверное значение" error="Не более двух доводчиков на одну дверь." sqref="E13:F13">
      <formula1>0</formula1>
      <formula2>IF(OR(E9=X6,E9=X5),2,4)</formula2>
    </dataValidation>
    <dataValidation type="whole" allowBlank="1" showInputMessage="1" showErrorMessage="1" sqref="E10:F10">
      <formula1>1</formula1>
      <formula2>5</formula2>
    </dataValidation>
    <dataValidation type="whole" allowBlank="1" showInputMessage="1" showErrorMessage="1" sqref="E11:F11">
      <formula1>1</formula1>
      <formula2>4</formula2>
    </dataValidation>
    <dataValidation type="list" operator="greaterThan" allowBlank="1" showInputMessage="1" showErrorMessage="1" sqref="E14">
      <formula1>X27:X31</formula1>
    </dataValidation>
    <dataValidation type="list" allowBlank="1" showInputMessage="1" showErrorMessage="1" sqref="E9:F9">
      <formula1>$X$5:$X$9</formula1>
    </dataValidation>
    <dataValidation type="list" allowBlank="1" showInputMessage="1" showErrorMessage="1" sqref="E16 E19 E15:F15">
      <formula1>$X$38:$X$39</formula1>
    </dataValidation>
    <dataValidation type="list" allowBlank="1" showInputMessage="1" showErrorMessage="1" sqref="E17">
      <formula1>$X$43:$X$45</formula1>
    </dataValidation>
    <dataValidation type="list" allowBlank="1" showInputMessage="1" showErrorMessage="1" sqref="E18">
      <formula1>$X$48:$X$49</formula1>
    </dataValidation>
    <dataValidation type="list" allowBlank="1" showInputMessage="1" showErrorMessage="1" sqref="C27">
      <formula1>$X$13:$X$15</formula1>
    </dataValidation>
    <dataValidation type="list" allowBlank="1" showInputMessage="1" showErrorMessage="1" sqref="C28:C31">
      <formula1>$X$35:$X$36</formula1>
    </dataValidation>
    <dataValidation type="whole" allowBlank="1" showInputMessage="1" showErrorMessage="1" errorTitle="Неверное значение" error="Не более двух доводчиков на одну дверь." sqref="E12:F12">
      <formula1>0</formula1>
      <formula2>IF(E9=X5,2,IF(OR(E9=X6,E9=X7,E9=X8),4,6))</formula2>
    </dataValidation>
  </dataValidations>
  <hyperlinks>
    <hyperlink ref="K38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12BAEFB1-C06B-46F0-B775-6CCC8CDFBCBB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Y53"/>
  <sheetViews>
    <sheetView zoomScale="70" zoomScaleNormal="70" workbookViewId="0">
      <selection activeCell="E9" sqref="E9:F9"/>
    </sheetView>
  </sheetViews>
  <sheetFormatPr defaultColWidth="9.140625" defaultRowHeight="18.75" x14ac:dyDescent="0.3"/>
  <cols>
    <col min="1" max="1" width="2.42578125" style="24" customWidth="1"/>
    <col min="2" max="3" width="43.7109375" style="24" customWidth="1"/>
    <col min="4" max="4" width="14.7109375" style="24" customWidth="1"/>
    <col min="5" max="6" width="14.7109375" style="23" customWidth="1"/>
    <col min="7" max="7" width="2.42578125" style="24" customWidth="1"/>
    <col min="8" max="8" width="78.7109375" style="24" customWidth="1"/>
    <col min="9" max="9" width="20.5703125" style="24" customWidth="1"/>
    <col min="10" max="10" width="16.7109375" style="24" customWidth="1"/>
    <col min="11" max="11" width="13.42578125" style="24" customWidth="1"/>
    <col min="12" max="12" width="13.42578125" style="24" hidden="1" customWidth="1"/>
    <col min="13" max="13" width="9.5703125" style="24" hidden="1" customWidth="1"/>
    <col min="14" max="22" width="9.140625" style="24"/>
    <col min="23" max="23" width="9" style="24" customWidth="1"/>
    <col min="24" max="24" width="32.28515625" style="24" hidden="1" customWidth="1"/>
    <col min="25" max="25" width="9.140625" style="24" hidden="1" customWidth="1"/>
    <col min="26" max="16384" width="9.140625" style="24"/>
  </cols>
  <sheetData>
    <row r="1" spans="2:25" x14ac:dyDescent="0.3">
      <c r="B1" s="22"/>
      <c r="C1" s="22"/>
      <c r="D1" s="22"/>
    </row>
    <row r="2" spans="2:25" s="25" customFormat="1" ht="27.6" customHeight="1" x14ac:dyDescent="0.25">
      <c r="B2" s="185" t="str">
        <f>'Visible Top Track'!B2:K2</f>
        <v>Calculation of the Doors of Aristo Wave System</v>
      </c>
      <c r="C2" s="185"/>
      <c r="D2" s="185"/>
      <c r="E2" s="185"/>
      <c r="F2" s="185"/>
      <c r="G2" s="186"/>
      <c r="H2" s="186"/>
      <c r="I2" s="186"/>
      <c r="J2" s="186"/>
      <c r="K2" s="186"/>
      <c r="X2" s="26" t="s">
        <v>85</v>
      </c>
      <c r="Y2" s="25" t="s">
        <v>62</v>
      </c>
    </row>
    <row r="3" spans="2:25" s="26" customFormat="1" ht="26.1" customHeight="1" x14ac:dyDescent="0.25">
      <c r="B3" s="185" t="s">
        <v>105</v>
      </c>
      <c r="C3" s="185"/>
      <c r="D3" s="185"/>
      <c r="E3" s="185"/>
      <c r="F3" s="185"/>
      <c r="G3" s="186"/>
      <c r="H3" s="186"/>
      <c r="I3" s="186"/>
      <c r="J3" s="186"/>
      <c r="K3" s="186"/>
      <c r="X3" s="26" t="s">
        <v>115</v>
      </c>
      <c r="Y3" s="25" t="s">
        <v>111</v>
      </c>
    </row>
    <row r="4" spans="2:25" s="26" customFormat="1" ht="20.100000000000001" customHeight="1" x14ac:dyDescent="0.3">
      <c r="B4" s="27"/>
      <c r="C4" s="27"/>
      <c r="D4" s="27"/>
      <c r="E4" s="27"/>
      <c r="F4" s="27"/>
      <c r="H4" s="28"/>
      <c r="I4" s="28"/>
      <c r="J4" s="28"/>
      <c r="K4" s="28"/>
    </row>
    <row r="5" spans="2:25" s="26" customFormat="1" ht="20.100000000000001" customHeight="1" x14ac:dyDescent="0.25">
      <c r="B5" s="112" t="s">
        <v>29</v>
      </c>
      <c r="C5" s="112"/>
      <c r="D5" s="112"/>
      <c r="E5" s="112"/>
      <c r="F5" s="112"/>
      <c r="H5" s="112" t="s">
        <v>30</v>
      </c>
      <c r="I5" s="112"/>
      <c r="J5" s="112"/>
      <c r="K5" s="112"/>
      <c r="X5" s="29" t="s">
        <v>1</v>
      </c>
    </row>
    <row r="6" spans="2:25" s="26" customFormat="1" ht="20.100000000000001" customHeight="1" thickBot="1" x14ac:dyDescent="0.3">
      <c r="B6" s="30"/>
      <c r="C6" s="30"/>
      <c r="D6" s="30"/>
      <c r="E6" s="30"/>
      <c r="F6" s="30"/>
      <c r="H6" s="30"/>
      <c r="I6" s="30"/>
      <c r="J6" s="30"/>
      <c r="K6" s="30"/>
      <c r="X6" s="29" t="s">
        <v>2</v>
      </c>
    </row>
    <row r="7" spans="2:25" s="25" customFormat="1" ht="20.100000000000001" customHeight="1" x14ac:dyDescent="0.25">
      <c r="B7" s="151" t="s">
        <v>32</v>
      </c>
      <c r="C7" s="152"/>
      <c r="D7" s="152"/>
      <c r="E7" s="187">
        <v>2000</v>
      </c>
      <c r="F7" s="188"/>
      <c r="H7" s="113" t="str">
        <f>'Visible Top Track'!H7:H8</f>
        <v>Door dimensions:</v>
      </c>
      <c r="I7" s="114"/>
      <c r="J7" s="31" t="s">
        <v>45</v>
      </c>
      <c r="K7" s="107">
        <f>IF(E15=X39,E7-34,E7-28)</f>
        <v>1966</v>
      </c>
      <c r="X7" s="29" t="s">
        <v>3</v>
      </c>
    </row>
    <row r="8" spans="2:25" s="25" customFormat="1" ht="20.100000000000001" customHeight="1" thickBot="1" x14ac:dyDescent="0.3">
      <c r="B8" s="153" t="s">
        <v>82</v>
      </c>
      <c r="C8" s="154"/>
      <c r="D8" s="154"/>
      <c r="E8" s="189">
        <v>2000</v>
      </c>
      <c r="F8" s="190"/>
      <c r="H8" s="115"/>
      <c r="I8" s="116"/>
      <c r="J8" s="32" t="s">
        <v>46</v>
      </c>
      <c r="K8" s="90">
        <f>ROUNDUP(IF(AND(E18=X49,E9=X8),(E8-20+E11*10)/E10,
IF(AND(E18=X49,E9&lt;&gt;X8),(E8-10+E11*10)/E10,(E8+E11*10)/E10)),0)</f>
        <v>1000</v>
      </c>
      <c r="X8" s="29" t="s">
        <v>4</v>
      </c>
    </row>
    <row r="9" spans="2:25" s="25" customFormat="1" ht="20.100000000000001" customHeight="1" thickBot="1" x14ac:dyDescent="0.3">
      <c r="B9" s="155" t="s">
        <v>34</v>
      </c>
      <c r="C9" s="156"/>
      <c r="D9" s="156"/>
      <c r="E9" s="125" t="s">
        <v>1</v>
      </c>
      <c r="F9" s="126"/>
      <c r="H9" s="33"/>
      <c r="I9" s="33"/>
      <c r="J9" s="34"/>
      <c r="K9" s="1"/>
      <c r="X9" s="29" t="s">
        <v>5</v>
      </c>
    </row>
    <row r="10" spans="2:25" s="25" customFormat="1" ht="20.100000000000001" customHeight="1" x14ac:dyDescent="0.25">
      <c r="B10" s="153" t="s">
        <v>35</v>
      </c>
      <c r="C10" s="154"/>
      <c r="D10" s="154"/>
      <c r="E10" s="127">
        <f>IF(E9=X5,2,IF(E9=X6,3,IF(E9=X7,4,IF(E9=X8,4,IF(E9=X9,5)))))</f>
        <v>2</v>
      </c>
      <c r="F10" s="128"/>
      <c r="H10" s="35" t="s">
        <v>54</v>
      </c>
      <c r="I10" s="36" t="s">
        <v>58</v>
      </c>
      <c r="J10" s="31" t="s">
        <v>56</v>
      </c>
      <c r="K10" s="37" t="s">
        <v>57</v>
      </c>
    </row>
    <row r="11" spans="2:25" s="25" customFormat="1" ht="20.100000000000001" customHeight="1" x14ac:dyDescent="0.3">
      <c r="B11" s="153" t="s">
        <v>36</v>
      </c>
      <c r="C11" s="154"/>
      <c r="D11" s="154"/>
      <c r="E11" s="127">
        <f>IF(E9=X5,1,IF(E9=X6,2,IF(E9=X7,3,IF(E9=X8,2,IF(E9=X9,4)))))</f>
        <v>1</v>
      </c>
      <c r="F11" s="128"/>
      <c r="H11" s="38" t="str">
        <f>'Visible Top Track'!H11</f>
        <v>Double Top Track</v>
      </c>
      <c r="I11" s="39" t="s">
        <v>8</v>
      </c>
      <c r="J11" s="91">
        <f>E8-2</f>
        <v>1998</v>
      </c>
      <c r="K11" s="2">
        <v>1</v>
      </c>
      <c r="L11" s="24"/>
    </row>
    <row r="12" spans="2:25" s="25" customFormat="1" ht="20.100000000000001" customHeight="1" x14ac:dyDescent="0.3">
      <c r="B12" s="153" t="s">
        <v>83</v>
      </c>
      <c r="C12" s="154"/>
      <c r="D12" s="154"/>
      <c r="E12" s="129">
        <v>0</v>
      </c>
      <c r="F12" s="130"/>
      <c r="H12" s="38" t="str">
        <f>IF(E15=X39,X2,X3)</f>
        <v>Double Bottom Track</v>
      </c>
      <c r="I12" s="39" t="str">
        <f>IF(E15=X39,Y2,Y3)</f>
        <v>CKRU0504/0403</v>
      </c>
      <c r="J12" s="91">
        <f>E8-2</f>
        <v>1998</v>
      </c>
      <c r="K12" s="2">
        <f>IF(E15=X39,1,2)</f>
        <v>1</v>
      </c>
      <c r="L12" s="24"/>
    </row>
    <row r="13" spans="2:25" s="25" customFormat="1" ht="20.100000000000001" customHeight="1" x14ac:dyDescent="0.3">
      <c r="B13" s="153" t="s">
        <v>84</v>
      </c>
      <c r="C13" s="154"/>
      <c r="D13" s="154"/>
      <c r="E13" s="129">
        <v>0</v>
      </c>
      <c r="F13" s="130"/>
      <c r="H13" s="40" t="str">
        <f>'Visible Top Track'!H13</f>
        <v xml:space="preserve">Stile </v>
      </c>
      <c r="I13" s="41" t="s">
        <v>7</v>
      </c>
      <c r="J13" s="92">
        <f>K7</f>
        <v>1966</v>
      </c>
      <c r="K13" s="3">
        <f>E10*2</f>
        <v>4</v>
      </c>
      <c r="L13" s="24">
        <v>0.29799999999999999</v>
      </c>
      <c r="M13" s="25">
        <f t="shared" ref="M13:M15" si="0">L13*J13*K13/1000</f>
        <v>2.3434719999999998</v>
      </c>
      <c r="X13" s="17" t="s">
        <v>98</v>
      </c>
    </row>
    <row r="14" spans="2:25" s="25" customFormat="1" ht="20.100000000000001" customHeight="1" x14ac:dyDescent="0.3">
      <c r="B14" s="163" t="s">
        <v>38</v>
      </c>
      <c r="C14" s="164"/>
      <c r="D14" s="165"/>
      <c r="E14" s="168">
        <v>0</v>
      </c>
      <c r="F14" s="169"/>
      <c r="H14" s="40" t="str">
        <f>'Hidden Top Track, Cabinet'!H14</f>
        <v>Bottom Rail (top+bottom of the door)</v>
      </c>
      <c r="I14" s="42" t="s">
        <v>10</v>
      </c>
      <c r="J14" s="92">
        <f>K8-2*9.7</f>
        <v>980.6</v>
      </c>
      <c r="K14" s="3">
        <f>E10*2</f>
        <v>4</v>
      </c>
      <c r="L14" s="24">
        <v>0.56000000000000005</v>
      </c>
      <c r="M14" s="25">
        <f t="shared" si="0"/>
        <v>2.1965440000000003</v>
      </c>
      <c r="X14" s="17" t="s">
        <v>100</v>
      </c>
    </row>
    <row r="15" spans="2:25" s="25" customFormat="1" ht="20.100000000000001" customHeight="1" thickBot="1" x14ac:dyDescent="0.35">
      <c r="B15" s="159" t="s">
        <v>115</v>
      </c>
      <c r="C15" s="160"/>
      <c r="D15" s="160"/>
      <c r="E15" s="172" t="s">
        <v>93</v>
      </c>
      <c r="F15" s="173"/>
      <c r="H15" s="43" t="str">
        <f>'Visible Top Track'!H16</f>
        <v>Dividing Rail</v>
      </c>
      <c r="I15" s="44" t="s">
        <v>11</v>
      </c>
      <c r="J15" s="93">
        <f>J14</f>
        <v>980.6</v>
      </c>
      <c r="K15" s="4">
        <f>E14*E10</f>
        <v>0</v>
      </c>
      <c r="L15" s="24">
        <v>0.312</v>
      </c>
      <c r="M15" s="25">
        <f t="shared" si="0"/>
        <v>0</v>
      </c>
      <c r="X15" s="17" t="s">
        <v>99</v>
      </c>
    </row>
    <row r="16" spans="2:25" s="25" customFormat="1" ht="20.100000000000001" customHeight="1" thickBot="1" x14ac:dyDescent="0.35">
      <c r="B16" s="182" t="s">
        <v>39</v>
      </c>
      <c r="C16" s="183"/>
      <c r="D16" s="184"/>
      <c r="E16" s="166" t="s">
        <v>93</v>
      </c>
      <c r="F16" s="167"/>
      <c r="H16" s="45"/>
      <c r="I16" s="46"/>
      <c r="J16" s="47"/>
      <c r="K16" s="1"/>
      <c r="M16" s="48">
        <f>SUM(M13:M15)/E10</f>
        <v>2.2700079999999998</v>
      </c>
    </row>
    <row r="17" spans="2:24" s="25" customFormat="1" ht="20.100000000000001" customHeight="1" x14ac:dyDescent="0.25">
      <c r="B17" s="182" t="s">
        <v>40</v>
      </c>
      <c r="C17" s="183"/>
      <c r="D17" s="184"/>
      <c r="E17" s="166" t="s">
        <v>93</v>
      </c>
      <c r="F17" s="167"/>
      <c r="H17" s="49" t="s">
        <v>55</v>
      </c>
      <c r="I17" s="36" t="s">
        <v>58</v>
      </c>
      <c r="J17" s="133" t="s">
        <v>57</v>
      </c>
      <c r="K17" s="134"/>
    </row>
    <row r="18" spans="2:24" s="25" customFormat="1" ht="20.100000000000001" customHeight="1" x14ac:dyDescent="0.25">
      <c r="B18" s="179" t="s">
        <v>41</v>
      </c>
      <c r="C18" s="180"/>
      <c r="D18" s="181"/>
      <c r="E18" s="170" t="s">
        <v>96</v>
      </c>
      <c r="F18" s="171"/>
      <c r="H18" s="40" t="str">
        <f>'Visible Top Track'!H19</f>
        <v xml:space="preserve">Rollers Set </v>
      </c>
      <c r="I18" s="50" t="s">
        <v>12</v>
      </c>
      <c r="J18" s="135">
        <f>E10</f>
        <v>2</v>
      </c>
      <c r="K18" s="136"/>
      <c r="M18" s="25">
        <f>IF(C27=$X$13,((D27*E27*F27/$E$10)/1000000)*8,IF(C27=$X$14,((D27*E27*F27/$E$10)/1000000)*6.5,((D27*E27*F27/$E$10)/1000000)*11))</f>
        <v>21.409079999999999</v>
      </c>
    </row>
    <row r="19" spans="2:24" s="25" customFormat="1" ht="20.100000000000001" customHeight="1" thickBot="1" x14ac:dyDescent="0.3">
      <c r="B19" s="174" t="s">
        <v>42</v>
      </c>
      <c r="C19" s="175"/>
      <c r="D19" s="176"/>
      <c r="E19" s="177" t="s">
        <v>93</v>
      </c>
      <c r="F19" s="178"/>
      <c r="H19" s="89" t="s">
        <v>87</v>
      </c>
      <c r="I19" s="51" t="s">
        <v>24</v>
      </c>
      <c r="J19" s="135">
        <f>ROUNDUP(IF(E9=X5,2+E12,IF(OR(E9=X6,E9=X7,E9=X8),4+E12,6+E12))/2,0)</f>
        <v>1</v>
      </c>
      <c r="K19" s="136"/>
      <c r="M19" s="25">
        <f>IF(C28=$X$13,((D28*E28*F28/$E$10)/1000000)*8,IF(C28=$X$14,((D28*E28*F28/$E$10)/1000000)*6.5,((D28*E28*F28/$E$10)/1000000)*11))</f>
        <v>0</v>
      </c>
      <c r="X19" s="25" t="s">
        <v>101</v>
      </c>
    </row>
    <row r="20" spans="2:24" s="25" customFormat="1" ht="20.100000000000001" customHeight="1" x14ac:dyDescent="0.25">
      <c r="H20" s="89" t="s">
        <v>88</v>
      </c>
      <c r="I20" s="51" t="s">
        <v>25</v>
      </c>
      <c r="J20" s="135">
        <f>ROUNDUP(IF(OR(E9=X5,E9=X6),2+E13,4+E13)/2,0)</f>
        <v>1</v>
      </c>
      <c r="K20" s="136"/>
      <c r="M20" s="25">
        <f>IF(C29=$X$13,((D29*E29*F29/$E$10)/1000000)*8,IF(C29=$X$14,((D29*E29*F29/$E$10)/1000000)*6.5,((D29*E29*F29/$E$10)/1000000)*11))</f>
        <v>0</v>
      </c>
      <c r="X20" s="25" t="s">
        <v>102</v>
      </c>
    </row>
    <row r="21" spans="2:24" s="25" customFormat="1" ht="20.100000000000001" customHeight="1" x14ac:dyDescent="0.25">
      <c r="B21" s="104" t="s">
        <v>43</v>
      </c>
      <c r="H21" s="89" t="s">
        <v>77</v>
      </c>
      <c r="I21" s="21" t="s">
        <v>78</v>
      </c>
      <c r="J21" s="137">
        <f>ROUNDUP(IF(AND(C37&lt;&gt;X52,C27=X14),(D27+E27)*2*F27,0)/1000,0)</f>
        <v>0</v>
      </c>
      <c r="K21" s="138"/>
      <c r="M21" s="25">
        <f>IF(C30=$X$13,((D30*E30*F30/$E$10)/1000000)*8,IF(C30=$X$14,((D30*E30*F30/$E$10)/1000000)*6.5,((D30*E30*F30/$E$10)/1000000)*11))</f>
        <v>0</v>
      </c>
    </row>
    <row r="22" spans="2:24" s="25" customFormat="1" ht="20.100000000000001" customHeight="1" thickBot="1" x14ac:dyDescent="0.3">
      <c r="H22" s="89" t="s">
        <v>76</v>
      </c>
      <c r="I22" s="21" t="s">
        <v>79</v>
      </c>
      <c r="J22" s="137">
        <f>ROUNDUP((IF(AND(E14&lt;&gt;0,C27=X15),(D27+E27+D27)*F27,IF(AND(E14=0,C27=X15),(D27+E27)*2*F27,0))
+IF(C28=X15,D28*2*F28,0)
+IF(C29=X15,D29*2*F29,0)
+IF(C30=X15,D30*2*F30,0)
+IF(C31=X15,(D31+E31+D31)*F31,0))/1000,0)</f>
        <v>12</v>
      </c>
      <c r="K22" s="138"/>
      <c r="M22" s="25">
        <f>IF(C31=$X$13,((D31*E31*F31/$E$10)/1000000)*8,IF(C31=$X$14,((D31*E31*F31/$E$10)/1000000)*6.5,((D31*E31*F31/$E$10)/1000000)*11))</f>
        <v>0</v>
      </c>
    </row>
    <row r="23" spans="2:24" s="25" customFormat="1" ht="20.100000000000001" customHeight="1" thickBot="1" x14ac:dyDescent="0.35">
      <c r="D23" s="52"/>
      <c r="E23" s="52"/>
      <c r="F23" s="52"/>
      <c r="H23" s="65" t="s">
        <v>73</v>
      </c>
      <c r="I23" s="21" t="s">
        <v>72</v>
      </c>
      <c r="J23" s="137">
        <f>ROUNDUP((IF(AND(E14&lt;&gt;0,C27=X15),E27*F27,0)
+IF(C28=X15,E28*2*F28,0)
+IF(C29=X15,E29*2*F29,0)
+IF(C30=X15,E30*2*F30,0)
+IF(C31=X15,E31*F31,0))/1000,0)</f>
        <v>0</v>
      </c>
      <c r="K23" s="138"/>
      <c r="M23" s="48">
        <f>SUM(M18:M22)</f>
        <v>21.409079999999999</v>
      </c>
      <c r="X23" s="24" t="s">
        <v>103</v>
      </c>
    </row>
    <row r="24" spans="2:24" s="25" customFormat="1" ht="20.100000000000001" customHeight="1" thickBot="1" x14ac:dyDescent="0.35">
      <c r="B24" s="53" t="s">
        <v>44</v>
      </c>
      <c r="C24" s="54">
        <f>E14+1</f>
        <v>1</v>
      </c>
      <c r="H24" s="89" t="s">
        <v>67</v>
      </c>
      <c r="I24" s="50" t="s">
        <v>13</v>
      </c>
      <c r="J24" s="135">
        <f>IF(M25&lt;30,ROUNDUP(SUM(E12:F13)/2,0),0)</f>
        <v>0</v>
      </c>
      <c r="K24" s="136"/>
      <c r="X24" s="24" t="s">
        <v>0</v>
      </c>
    </row>
    <row r="25" spans="2:24" s="25" customFormat="1" ht="20.100000000000001" customHeight="1" thickBot="1" x14ac:dyDescent="0.3">
      <c r="H25" s="89" t="s">
        <v>67</v>
      </c>
      <c r="I25" s="50" t="s">
        <v>14</v>
      </c>
      <c r="J25" s="135">
        <f>IF(AND(M25&gt;=30,M25&lt;50),ROUNDUP(SUM(E12:F13)/2,0),0)</f>
        <v>0</v>
      </c>
      <c r="K25" s="136"/>
      <c r="L25" s="59" t="s">
        <v>23</v>
      </c>
      <c r="M25" s="60">
        <f>(M23+M16)*1.05</f>
        <v>24.863042400000001</v>
      </c>
    </row>
    <row r="26" spans="2:24" s="25" customFormat="1" ht="20.100000000000001" customHeight="1" x14ac:dyDescent="0.25">
      <c r="B26" s="55" t="s">
        <v>47</v>
      </c>
      <c r="C26" s="56" t="s">
        <v>59</v>
      </c>
      <c r="D26" s="56" t="s">
        <v>45</v>
      </c>
      <c r="E26" s="57" t="s">
        <v>46</v>
      </c>
      <c r="F26" s="58" t="s">
        <v>57</v>
      </c>
      <c r="G26" s="61">
        <f>IF(D27&lt;&gt;0,1,0)</f>
        <v>1</v>
      </c>
      <c r="H26" s="89" t="s">
        <v>67</v>
      </c>
      <c r="I26" s="50" t="s">
        <v>15</v>
      </c>
      <c r="J26" s="135">
        <f>IF(AND(M25&gt;=50,M25&lt;70),ROUNDUP(SUM(E12:F13)/2,0),0)</f>
        <v>0</v>
      </c>
      <c r="K26" s="136"/>
    </row>
    <row r="27" spans="2:24" s="25" customFormat="1" ht="20.100000000000001" customHeight="1" x14ac:dyDescent="0.25">
      <c r="B27" s="89" t="s">
        <v>52</v>
      </c>
      <c r="C27" s="15" t="s">
        <v>99</v>
      </c>
      <c r="D27" s="94">
        <f>ROUNDDOWN(K7-IF(D31=0,0,IF(C31=X13,D31,IF(C31=X14,D31+2,D31+3)))-IF(D30=0,0,IF(C30=X13,D30,IF(C30=X14,D30+2,D30+3)))-IF(D29=0,0,IF(C29=X13,D29,IF(C29=X14,D29+2,D29+3)))-IF(D28=0,0,IF(C28=X13,D28,IF(C28=X14,D28+2,D28+3)))-3-IF(C27=X14,2,IF(C27=X15,3,0))-E14*1.3,0)</f>
        <v>1960</v>
      </c>
      <c r="E27" s="95">
        <f>IF(C27=X13,K8-4,IF(C27=X14,K8-4-2,K8-4-3))</f>
        <v>993</v>
      </c>
      <c r="F27" s="100">
        <f>$E$10</f>
        <v>2</v>
      </c>
      <c r="G27" s="61">
        <f>IF(D28&lt;&gt;0,1,0)</f>
        <v>0</v>
      </c>
      <c r="H27" s="89" t="s">
        <v>69</v>
      </c>
      <c r="I27" s="50" t="s">
        <v>18</v>
      </c>
      <c r="J27" s="139">
        <f>IF(E17=X44,E10*2-SUM(E12:F13),0)</f>
        <v>0</v>
      </c>
      <c r="K27" s="140"/>
      <c r="X27" s="105">
        <v>0</v>
      </c>
    </row>
    <row r="28" spans="2:24" s="25" customFormat="1" ht="20.100000000000001" customHeight="1" x14ac:dyDescent="0.25">
      <c r="B28" s="89" t="s">
        <v>48</v>
      </c>
      <c r="C28" s="15" t="s">
        <v>99</v>
      </c>
      <c r="D28" s="96">
        <v>0</v>
      </c>
      <c r="E28" s="95">
        <f>IF(C28=$X$35,$K$8-4,$K$8-4-3)</f>
        <v>993</v>
      </c>
      <c r="F28" s="100">
        <f>IF(D28&lt;&gt;0,$E$10,0)</f>
        <v>0</v>
      </c>
      <c r="G28" s="61">
        <f>IF(D29&lt;&gt;0,1,0)</f>
        <v>0</v>
      </c>
      <c r="H28" s="89" t="s">
        <v>68</v>
      </c>
      <c r="I28" s="50" t="s">
        <v>19</v>
      </c>
      <c r="J28" s="139">
        <f>IF(E17=X45,E10*2-SUM(E12:F13),0)</f>
        <v>0</v>
      </c>
      <c r="K28" s="140"/>
      <c r="X28" s="106">
        <v>1</v>
      </c>
    </row>
    <row r="29" spans="2:24" s="25" customFormat="1" ht="20.100000000000001" customHeight="1" x14ac:dyDescent="0.3">
      <c r="B29" s="89" t="s">
        <v>49</v>
      </c>
      <c r="C29" s="15" t="s">
        <v>99</v>
      </c>
      <c r="D29" s="96">
        <v>0</v>
      </c>
      <c r="E29" s="95">
        <f t="shared" ref="E29:E31" si="1">IF(C29=$X$35,$K$8-4,$K$8-4-3)</f>
        <v>993</v>
      </c>
      <c r="F29" s="100">
        <f t="shared" ref="F29:F31" si="2">IF(D29&lt;&gt;0,$E$10,0)</f>
        <v>0</v>
      </c>
      <c r="G29" s="61">
        <f>IF(D30&lt;&gt;0,1,0)</f>
        <v>0</v>
      </c>
      <c r="H29" s="62" t="s">
        <v>75</v>
      </c>
      <c r="I29" s="63" t="s">
        <v>20</v>
      </c>
      <c r="J29" s="141">
        <f>IF(E18=X48,K14*2+K15*2,0)</f>
        <v>0</v>
      </c>
      <c r="K29" s="142"/>
      <c r="X29" s="105">
        <v>2</v>
      </c>
    </row>
    <row r="30" spans="2:24" s="25" customFormat="1" ht="20.100000000000001" customHeight="1" x14ac:dyDescent="0.25">
      <c r="B30" s="89" t="s">
        <v>50</v>
      </c>
      <c r="C30" s="15" t="s">
        <v>99</v>
      </c>
      <c r="D30" s="96">
        <v>0</v>
      </c>
      <c r="E30" s="95">
        <f t="shared" si="1"/>
        <v>993</v>
      </c>
      <c r="F30" s="100">
        <f t="shared" si="2"/>
        <v>0</v>
      </c>
      <c r="G30" s="61">
        <f>IF(D31&lt;&gt;0,1,0)</f>
        <v>0</v>
      </c>
      <c r="H30" s="103" t="s">
        <v>71</v>
      </c>
      <c r="I30" s="18" t="s">
        <v>21</v>
      </c>
      <c r="J30" s="109">
        <f>IF(E18=X49,ROUNDUP(J13*K13/1000,0),0)</f>
        <v>8</v>
      </c>
      <c r="K30" s="145"/>
      <c r="X30" s="105">
        <v>3</v>
      </c>
    </row>
    <row r="31" spans="2:24" s="25" customFormat="1" ht="20.100000000000001" customHeight="1" thickBot="1" x14ac:dyDescent="0.3">
      <c r="B31" s="64" t="s">
        <v>51</v>
      </c>
      <c r="C31" s="16" t="s">
        <v>99</v>
      </c>
      <c r="D31" s="97">
        <v>0</v>
      </c>
      <c r="E31" s="98">
        <f t="shared" si="1"/>
        <v>993</v>
      </c>
      <c r="F31" s="101">
        <f t="shared" si="2"/>
        <v>0</v>
      </c>
      <c r="H31" s="89" t="s">
        <v>70</v>
      </c>
      <c r="I31" s="50" t="s">
        <v>16</v>
      </c>
      <c r="J31" s="143">
        <f>IF(J30&gt;0,K13*2,0)</f>
        <v>8</v>
      </c>
      <c r="K31" s="146"/>
      <c r="X31" s="105">
        <v>4</v>
      </c>
    </row>
    <row r="32" spans="2:24" s="25" customFormat="1" ht="19.5" customHeight="1" x14ac:dyDescent="0.3">
      <c r="H32" s="89" t="s">
        <v>89</v>
      </c>
      <c r="I32" s="50" t="s">
        <v>22</v>
      </c>
      <c r="J32" s="109">
        <f>ROUNDUP(K13*J13/1000,0)</f>
        <v>8</v>
      </c>
      <c r="K32" s="110"/>
      <c r="L32" s="24"/>
      <c r="M32" s="24"/>
      <c r="X32" s="24"/>
    </row>
    <row r="33" spans="2:24" s="25" customFormat="1" ht="20.100000000000001" customHeight="1" x14ac:dyDescent="0.3">
      <c r="C33" s="66" t="str">
        <f>IF((SUM(G26:G30)/C24)&lt;&gt;1,X19,X20)</f>
        <v>Correct insert heights</v>
      </c>
      <c r="D33" s="23">
        <f>IF(C33=X20,1,0)</f>
        <v>1</v>
      </c>
      <c r="H33" s="89" t="s">
        <v>39</v>
      </c>
      <c r="I33" s="50" t="s">
        <v>104</v>
      </c>
      <c r="J33" s="109">
        <f>IF(E16=X38,ROUNDUP((J12+40)*2/1000,0),0)</f>
        <v>0</v>
      </c>
      <c r="K33" s="110"/>
      <c r="L33" s="24"/>
      <c r="M33" s="24"/>
      <c r="X33" s="24"/>
    </row>
    <row r="34" spans="2:24" s="25" customFormat="1" ht="20.100000000000001" customHeight="1" x14ac:dyDescent="0.3">
      <c r="H34" s="89" t="s">
        <v>74</v>
      </c>
      <c r="I34" s="50" t="s">
        <v>6</v>
      </c>
      <c r="J34" s="143">
        <f>K15*2</f>
        <v>0</v>
      </c>
      <c r="K34" s="144"/>
      <c r="L34" s="24"/>
      <c r="M34" s="24"/>
      <c r="X34" s="24"/>
    </row>
    <row r="35" spans="2:24" s="25" customFormat="1" ht="20.100000000000001" customHeight="1" x14ac:dyDescent="0.3">
      <c r="C35" s="67" t="str">
        <f>IF(AND(SUM(G26:G30)/C24=1,D31=0,C24&lt;&gt;1),X23,X24)</f>
        <v xml:space="preserve"> </v>
      </c>
      <c r="D35" s="67"/>
      <c r="H35" s="89" t="s">
        <v>91</v>
      </c>
      <c r="I35" s="68"/>
      <c r="J35" s="143">
        <f>SUM(J19:K20)*8</f>
        <v>16</v>
      </c>
      <c r="K35" s="144"/>
      <c r="L35" s="24"/>
      <c r="M35" s="24"/>
      <c r="X35" s="17" t="s">
        <v>98</v>
      </c>
    </row>
    <row r="36" spans="2:24" ht="20.100000000000001" customHeight="1" thickBot="1" x14ac:dyDescent="0.35">
      <c r="B36" s="25"/>
      <c r="C36" s="25"/>
      <c r="D36" s="25"/>
      <c r="E36" s="25"/>
      <c r="F36" s="25"/>
      <c r="G36" s="25"/>
      <c r="H36" s="69" t="s">
        <v>42</v>
      </c>
      <c r="I36" s="70" t="s">
        <v>17</v>
      </c>
      <c r="J36" s="131">
        <f>IF(E19=X38,E11,0)</f>
        <v>0</v>
      </c>
      <c r="K36" s="132"/>
      <c r="X36" s="17" t="s">
        <v>99</v>
      </c>
    </row>
    <row r="37" spans="2:24" ht="20.100000000000001" customHeight="1" thickBot="1" x14ac:dyDescent="0.35">
      <c r="B37" s="25"/>
      <c r="C37" s="24" t="str">
        <f xml:space="preserve"> IF(AND(C24&lt;&gt;1,C27=X14),X52,X53)</f>
        <v xml:space="preserve"> </v>
      </c>
      <c r="D37" s="67"/>
      <c r="E37" s="25"/>
      <c r="F37" s="25"/>
      <c r="G37" s="25"/>
    </row>
    <row r="38" spans="2:24" ht="19.5" customHeight="1" thickBot="1" x14ac:dyDescent="0.35">
      <c r="B38" s="25"/>
      <c r="C38" s="25"/>
      <c r="D38" s="25"/>
      <c r="E38" s="71" t="s">
        <v>53</v>
      </c>
      <c r="F38" s="102">
        <f>ROUNDUP(M25,0)</f>
        <v>25</v>
      </c>
      <c r="G38" s="25"/>
      <c r="H38" s="24" t="s">
        <v>106</v>
      </c>
      <c r="I38" s="72"/>
      <c r="J38" s="73"/>
      <c r="K38" s="88" t="s">
        <v>28</v>
      </c>
      <c r="X38" s="24" t="s">
        <v>92</v>
      </c>
    </row>
    <row r="39" spans="2:24" ht="20.100000000000001" customHeight="1" x14ac:dyDescent="0.3">
      <c r="B39" s="25"/>
      <c r="D39" s="23"/>
      <c r="G39" s="25"/>
      <c r="X39" s="25" t="s">
        <v>93</v>
      </c>
    </row>
    <row r="40" spans="2:24" ht="20.100000000000001" customHeight="1" x14ac:dyDescent="0.3">
      <c r="D40" s="23"/>
      <c r="G40" s="25"/>
    </row>
    <row r="41" spans="2:24" ht="19.5" customHeight="1" x14ac:dyDescent="0.3">
      <c r="D41" s="23"/>
      <c r="G41" s="25"/>
      <c r="H41" s="74"/>
      <c r="I41" s="74"/>
      <c r="J41" s="74"/>
      <c r="K41" s="74"/>
    </row>
    <row r="42" spans="2:24" ht="21" customHeight="1" x14ac:dyDescent="0.3">
      <c r="D42" s="23"/>
      <c r="G42" s="25"/>
    </row>
    <row r="43" spans="2:24" ht="20.100000000000001" customHeight="1" x14ac:dyDescent="0.3">
      <c r="D43" s="23"/>
      <c r="H43" s="75"/>
      <c r="I43" s="76"/>
      <c r="X43" s="24" t="s">
        <v>93</v>
      </c>
    </row>
    <row r="44" spans="2:24" ht="21.75" customHeight="1" x14ac:dyDescent="0.3">
      <c r="X44" s="24" t="s">
        <v>94</v>
      </c>
    </row>
    <row r="45" spans="2:24" ht="18" customHeight="1" x14ac:dyDescent="0.3">
      <c r="X45" s="24" t="s">
        <v>95</v>
      </c>
    </row>
    <row r="48" spans="2:24" x14ac:dyDescent="0.3">
      <c r="X48" s="19" t="s">
        <v>112</v>
      </c>
    </row>
    <row r="49" spans="24:24" x14ac:dyDescent="0.3">
      <c r="X49" s="20" t="s">
        <v>96</v>
      </c>
    </row>
    <row r="50" spans="24:24" x14ac:dyDescent="0.3">
      <c r="X50" s="19"/>
    </row>
    <row r="52" spans="24:24" x14ac:dyDescent="0.3">
      <c r="X52" s="24" t="s">
        <v>97</v>
      </c>
    </row>
    <row r="53" spans="24:24" x14ac:dyDescent="0.3">
      <c r="X53" s="24" t="s">
        <v>0</v>
      </c>
    </row>
  </sheetData>
  <sheetProtection algorithmName="SHA-512" hashValue="qlGrr7TtGBVR4runVAf8Pnxu/7kkX4I5joz1jevob3+edqdCV+v1BmyAY5JIh74nFCzkWLaAblhRxtWplzoL6Q==" saltValue="aUYHFmBsr/extc/k/N/nbA==" spinCount="100000" sheet="1" selectLockedCells="1"/>
  <mergeCells count="51">
    <mergeCell ref="B14:D14"/>
    <mergeCell ref="E14:F14"/>
    <mergeCell ref="B16:D16"/>
    <mergeCell ref="E16:F16"/>
    <mergeCell ref="B17:D17"/>
    <mergeCell ref="E17:F17"/>
    <mergeCell ref="B15:D15"/>
    <mergeCell ref="E15:F15"/>
    <mergeCell ref="E13:F13"/>
    <mergeCell ref="E11:F11"/>
    <mergeCell ref="E12:F12"/>
    <mergeCell ref="B9:D9"/>
    <mergeCell ref="E9:F9"/>
    <mergeCell ref="B10:D10"/>
    <mergeCell ref="B11:D11"/>
    <mergeCell ref="B12:D12"/>
    <mergeCell ref="B13:D13"/>
    <mergeCell ref="E8:F8"/>
    <mergeCell ref="B7:D7"/>
    <mergeCell ref="B8:D8"/>
    <mergeCell ref="H7:I8"/>
    <mergeCell ref="E10:F10"/>
    <mergeCell ref="B2:K2"/>
    <mergeCell ref="B5:F5"/>
    <mergeCell ref="H5:K5"/>
    <mergeCell ref="E7:F7"/>
    <mergeCell ref="B3:K3"/>
    <mergeCell ref="B18:D18"/>
    <mergeCell ref="E18:F18"/>
    <mergeCell ref="B19:D19"/>
    <mergeCell ref="E19:F19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6:K36"/>
    <mergeCell ref="J26:K26"/>
    <mergeCell ref="J27:K27"/>
    <mergeCell ref="J30:K30"/>
    <mergeCell ref="J29:K29"/>
    <mergeCell ref="J28:K28"/>
    <mergeCell ref="J31:K31"/>
    <mergeCell ref="J32:K32"/>
    <mergeCell ref="J33:K33"/>
    <mergeCell ref="J34:K34"/>
    <mergeCell ref="J35:K35"/>
  </mergeCells>
  <conditionalFormatting sqref="E12:F12">
    <cfRule type="expression" dxfId="5" priority="7">
      <formula>OR(AND(E9=X5,E12&gt;2),AND(OR(E9=X6,E9=X7,E9=X8),E12&gt;4),AND(E9=X9,E12&gt;6))</formula>
    </cfRule>
  </conditionalFormatting>
  <conditionalFormatting sqref="E13:F13">
    <cfRule type="expression" dxfId="4" priority="6">
      <formula>OR(AND(OR(E9=X6,E9=X5),E13&gt;2),AND(OR(E9=X7,E9=X8,E9=X9),E13&gt;4))</formula>
    </cfRule>
  </conditionalFormatting>
  <conditionalFormatting sqref="C33">
    <cfRule type="expression" dxfId="3" priority="2">
      <formula>$C$33=$X$19</formula>
    </cfRule>
    <cfRule type="expression" dxfId="2" priority="3">
      <formula>$C$33=$X$20</formula>
    </cfRule>
  </conditionalFormatting>
  <conditionalFormatting sqref="C35">
    <cfRule type="expression" dxfId="1" priority="4">
      <formula>$C$35=$X$23</formula>
    </cfRule>
  </conditionalFormatting>
  <conditionalFormatting sqref="C27 C37">
    <cfRule type="expression" dxfId="0" priority="5">
      <formula>$C$37=$X$52</formula>
    </cfRule>
  </conditionalFormatting>
  <dataValidations count="11">
    <dataValidation type="whole" allowBlank="1" showInputMessage="1" showErrorMessage="1" sqref="E10:F10">
      <formula1>1</formula1>
      <formula2>5</formula2>
    </dataValidation>
    <dataValidation type="whole" allowBlank="1" showInputMessage="1" showErrorMessage="1" sqref="E11:F11">
      <formula1>1</formula1>
      <formula2>4</formula2>
    </dataValidation>
    <dataValidation type="list" allowBlank="1" showInputMessage="1" showErrorMessage="1" sqref="E9:F9">
      <formula1>$X$5:$X$9</formula1>
    </dataValidation>
    <dataValidation type="whole" allowBlank="1" showInputMessage="1" showErrorMessage="1" errorTitle="Неверное значение" error="Не более двух доводчиков на одну дверь." sqref="E12:F12">
      <formula1>0</formula1>
      <formula2>IF(E9=X5,2,IF(OR(E9=X6,E9=X7,E9=X8),4,6))</formula2>
    </dataValidation>
    <dataValidation type="list" allowBlank="1" showInputMessage="1" showErrorMessage="1" sqref="E18">
      <formula1>$X$48:$X$49</formula1>
    </dataValidation>
    <dataValidation type="list" allowBlank="1" showInputMessage="1" showErrorMessage="1" sqref="E17">
      <formula1>$X$43:$X$45</formula1>
    </dataValidation>
    <dataValidation type="list" allowBlank="1" showInputMessage="1" showErrorMessage="1" sqref="E16 E19 E15:F15">
      <formula1>$X$38:$X$39</formula1>
    </dataValidation>
    <dataValidation type="list" operator="greaterThan" allowBlank="1" showInputMessage="1" showErrorMessage="1" sqref="E14">
      <formula1>X27:X31</formula1>
    </dataValidation>
    <dataValidation type="whole" allowBlank="1" showInputMessage="1" showErrorMessage="1" errorTitle="Неверное значение" error="Не более двух доводчиков на одну дверь." sqref="E13:F13">
      <formula1>0</formula1>
      <formula2>IF(OR(E9=X6,E9=X5),2,4)</formula2>
    </dataValidation>
    <dataValidation type="list" allowBlank="1" showInputMessage="1" showErrorMessage="1" sqref="C28:C31">
      <formula1>$X$35:$X$36</formula1>
    </dataValidation>
    <dataValidation type="list" allowBlank="1" showInputMessage="1" showErrorMessage="1" sqref="C27">
      <formula1>$X$13:$X$15</formula1>
    </dataValidation>
  </dataValidations>
  <hyperlinks>
    <hyperlink ref="K38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FD35E87-35CE-4A9E-8340-B378B2FECEC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Contents</vt:lpstr>
      <vt:lpstr>Visible Top Track</vt:lpstr>
      <vt:lpstr>Hidden Top Track, Cabinet</vt:lpstr>
      <vt:lpstr>Hidden Top Track, Door Opening</vt:lpstr>
      <vt:lpstr>no</vt:lpstr>
      <vt:lpstr>нет</vt:lpstr>
      <vt:lpstr>'Hidden Top Track, Cabinet'!Область_печати</vt:lpstr>
      <vt:lpstr>'Hidden Top Track, Door Opening'!Область_печати</vt:lpstr>
      <vt:lpstr>'Visible Top Track'!Область_печати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2020-11-06T11:22:45Z</dcterms:modified>
</cp:coreProperties>
</file>