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13092" windowHeight="8976" tabRatio="874"/>
  </bookViews>
  <sheets>
    <sheet name="Contents" sheetId="6" r:id="rId1"/>
    <sheet name="Standard Sliding Doors" sheetId="1" r:id="rId2"/>
    <sheet name="Standard Pivot Doors" sheetId="7" r:id="rId3"/>
    <sheet name="Eco Sliding Doors" sheetId="8" r:id="rId4"/>
  </sheets>
  <definedNames>
    <definedName name="Print_Area" localSheetId="3">'Eco Sliding Doors'!$B$3:$L$36</definedName>
    <definedName name="Print_Area" localSheetId="2">'Standard Pivot Doors'!$B$3:$L$36</definedName>
    <definedName name="Print_Area" localSheetId="1">'Standard Sliding Doors'!$B$3:$L$36</definedName>
  </definedNames>
  <calcPr calcId="162913"/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L7" i="7" l="1"/>
  <c r="K12" i="7" s="1"/>
  <c r="J11" i="7"/>
  <c r="I11" i="7"/>
  <c r="Q61" i="7"/>
  <c r="K21" i="1"/>
  <c r="J12" i="1"/>
  <c r="I12" i="1"/>
  <c r="F25" i="7" l="1"/>
  <c r="F26" i="7"/>
  <c r="F27" i="7"/>
  <c r="F28" i="7"/>
  <c r="F29" i="7"/>
  <c r="I11" i="1"/>
  <c r="C21" i="7" l="1"/>
  <c r="I12" i="8"/>
  <c r="L6" i="1"/>
  <c r="K12" i="1" s="1"/>
  <c r="L11" i="1"/>
  <c r="J11" i="1"/>
  <c r="J12" i="8"/>
  <c r="N16" i="1"/>
  <c r="L6" i="8"/>
  <c r="K12" i="8"/>
  <c r="E25" i="8"/>
  <c r="K20" i="8"/>
  <c r="H29" i="8"/>
  <c r="H28" i="8"/>
  <c r="H27" i="8"/>
  <c r="H26" i="8"/>
  <c r="G26" i="8"/>
  <c r="C21" i="8"/>
  <c r="L15" i="8"/>
  <c r="K11" i="8"/>
  <c r="F11" i="8"/>
  <c r="K10" i="8"/>
  <c r="F10" i="8"/>
  <c r="G29" i="8"/>
  <c r="K23" i="8"/>
  <c r="K19" i="8"/>
  <c r="K27" i="8"/>
  <c r="L14" i="8"/>
  <c r="L16" i="8"/>
  <c r="K24" i="8"/>
  <c r="G28" i="8"/>
  <c r="Q55" i="8"/>
  <c r="L7" i="8"/>
  <c r="F29" i="8" s="1"/>
  <c r="N35" i="8" s="1"/>
  <c r="L13" i="8"/>
  <c r="G25" i="8"/>
  <c r="G27" i="8"/>
  <c r="Q56" i="8"/>
  <c r="F28" i="8"/>
  <c r="N34" i="8" s="1"/>
  <c r="L12" i="8"/>
  <c r="N12" i="8"/>
  <c r="N13" i="8"/>
  <c r="K25" i="8"/>
  <c r="K26" i="8"/>
  <c r="K22" i="8"/>
  <c r="L6" i="7"/>
  <c r="K11" i="7"/>
  <c r="F10" i="7"/>
  <c r="Q62" i="7" s="1"/>
  <c r="H29" i="7"/>
  <c r="H28" i="7"/>
  <c r="H27" i="7"/>
  <c r="H26" i="7"/>
  <c r="G26" i="7"/>
  <c r="K10" i="7"/>
  <c r="G29" i="7"/>
  <c r="E25" i="7"/>
  <c r="H25" i="7" s="1"/>
  <c r="C31" i="7" s="1"/>
  <c r="D31" i="7" s="1"/>
  <c r="Q55" i="7"/>
  <c r="Q58" i="7"/>
  <c r="K26" i="7"/>
  <c r="L15" i="7"/>
  <c r="G28" i="7"/>
  <c r="L12" i="7"/>
  <c r="G27" i="7"/>
  <c r="K36" i="1"/>
  <c r="K35" i="1"/>
  <c r="K24" i="7"/>
  <c r="L16" i="1"/>
  <c r="G33" i="1"/>
  <c r="C28" i="1"/>
  <c r="F11" i="1"/>
  <c r="Q61" i="1" s="1"/>
  <c r="L7" i="1" s="1"/>
  <c r="F10" i="1"/>
  <c r="L14" i="1" s="1"/>
  <c r="H35" i="1"/>
  <c r="H34" i="1"/>
  <c r="H33" i="1"/>
  <c r="H32" i="1"/>
  <c r="K20" i="1"/>
  <c r="L17" i="1"/>
  <c r="N17" i="1"/>
  <c r="K28" i="1"/>
  <c r="K37" i="1"/>
  <c r="G34" i="1"/>
  <c r="G36" i="1"/>
  <c r="G32" i="1"/>
  <c r="G35" i="1"/>
  <c r="N15" i="1"/>
  <c r="N13" i="1"/>
  <c r="K10" i="1"/>
  <c r="K11" i="1"/>
  <c r="K33" i="1" s="1"/>
  <c r="F25" i="8" l="1"/>
  <c r="N31" i="8" s="1"/>
  <c r="N36" i="8" s="1"/>
  <c r="K13" i="8"/>
  <c r="F27" i="8"/>
  <c r="N33" i="8" s="1"/>
  <c r="F26" i="8"/>
  <c r="N32" i="8" s="1"/>
  <c r="K13" i="1"/>
  <c r="E32" i="1"/>
  <c r="N42" i="1" s="1"/>
  <c r="K21" i="8"/>
  <c r="N42" i="8"/>
  <c r="D25" i="8" s="1"/>
  <c r="H25" i="8"/>
  <c r="L14" i="7"/>
  <c r="K27" i="7" s="1"/>
  <c r="K25" i="7"/>
  <c r="L11" i="7"/>
  <c r="K22" i="7" s="1"/>
  <c r="K23" i="7" s="1"/>
  <c r="G25" i="7"/>
  <c r="L13" i="7"/>
  <c r="Q59" i="7"/>
  <c r="Q60" i="7"/>
  <c r="Q57" i="7"/>
  <c r="K18" i="7"/>
  <c r="Q56" i="7"/>
  <c r="N18" i="7"/>
  <c r="N35" i="7"/>
  <c r="N31" i="7"/>
  <c r="N34" i="7"/>
  <c r="N32" i="7"/>
  <c r="N16" i="7"/>
  <c r="N14" i="7"/>
  <c r="N12" i="7"/>
  <c r="N17" i="7"/>
  <c r="N15" i="7"/>
  <c r="N13" i="7"/>
  <c r="N11" i="7"/>
  <c r="C33" i="7"/>
  <c r="K19" i="7"/>
  <c r="N42" i="7"/>
  <c r="D25" i="7" s="1"/>
  <c r="K14" i="7"/>
  <c r="N20" i="7" s="1"/>
  <c r="K13" i="7"/>
  <c r="N19" i="7" s="1"/>
  <c r="K15" i="7"/>
  <c r="N21" i="7" s="1"/>
  <c r="Q58" i="1"/>
  <c r="Q59" i="1"/>
  <c r="Q55" i="1"/>
  <c r="K27" i="1"/>
  <c r="L13" i="1"/>
  <c r="L15" i="1"/>
  <c r="Q57" i="1"/>
  <c r="Q56" i="1"/>
  <c r="Q60" i="1"/>
  <c r="Q62" i="1"/>
  <c r="L12" i="1"/>
  <c r="K32" i="1" s="1"/>
  <c r="K16" i="8" l="1"/>
  <c r="N17" i="8" s="1"/>
  <c r="K15" i="8"/>
  <c r="N16" i="8" s="1"/>
  <c r="N14" i="8"/>
  <c r="K14" i="8"/>
  <c r="N15" i="8" s="1"/>
  <c r="H31" i="1"/>
  <c r="C40" i="1" s="1"/>
  <c r="D32" i="1"/>
  <c r="N14" i="1"/>
  <c r="C33" i="8"/>
  <c r="C31" i="8"/>
  <c r="D31" i="8" s="1"/>
  <c r="D28" i="8"/>
  <c r="D26" i="8"/>
  <c r="D29" i="8"/>
  <c r="D27" i="8"/>
  <c r="N33" i="1"/>
  <c r="K21" i="7"/>
  <c r="K20" i="7"/>
  <c r="N33" i="7"/>
  <c r="N36" i="7" s="1"/>
  <c r="N22" i="7"/>
  <c r="D28" i="7"/>
  <c r="D26" i="7"/>
  <c r="D29" i="7"/>
  <c r="D27" i="7"/>
  <c r="K34" i="1"/>
  <c r="K29" i="1"/>
  <c r="N12" i="1"/>
  <c r="K30" i="1"/>
  <c r="K31" i="1" s="1"/>
  <c r="N18" i="1"/>
  <c r="D36" i="1"/>
  <c r="D34" i="1"/>
  <c r="D35" i="1"/>
  <c r="D33" i="1"/>
  <c r="N18" i="8" l="1"/>
  <c r="N38" i="8" s="1"/>
  <c r="G31" i="8" s="1"/>
  <c r="N32" i="1"/>
  <c r="N35" i="1"/>
  <c r="C38" i="1"/>
  <c r="D38" i="1" s="1"/>
  <c r="N34" i="1"/>
  <c r="K15" i="1"/>
  <c r="N21" i="1" s="1"/>
  <c r="N31" i="1"/>
  <c r="N38" i="7"/>
  <c r="G31" i="7" s="1"/>
  <c r="K16" i="1" l="1"/>
  <c r="N22" i="1" s="1"/>
  <c r="K17" i="1"/>
  <c r="N23" i="1" s="1"/>
  <c r="N36" i="1"/>
  <c r="K23" i="1"/>
  <c r="K22" i="1"/>
  <c r="N19" i="1"/>
  <c r="K14" i="1"/>
  <c r="N20" i="1" s="1"/>
  <c r="N24" i="1" l="1"/>
  <c r="N38" i="1" s="1"/>
  <c r="K26" i="1" s="1"/>
  <c r="K24" i="1" l="1"/>
  <c r="G39" i="1"/>
  <c r="K25" i="1"/>
</calcChain>
</file>

<file path=xl/sharedStrings.xml><?xml version="1.0" encoding="utf-8"?>
<sst xmlns="http://schemas.openxmlformats.org/spreadsheetml/2006/main" count="403" uniqueCount="172">
  <si>
    <t xml:space="preserve"> </t>
  </si>
  <si>
    <t>I-----____I</t>
  </si>
  <si>
    <t>I-----____-----I</t>
  </si>
  <si>
    <t>I-----____-----____I</t>
  </si>
  <si>
    <t>I-----____  ____-----I</t>
  </si>
  <si>
    <t>I-----____-----____-----I</t>
  </si>
  <si>
    <t>АВ-75</t>
  </si>
  <si>
    <t xml:space="preserve">АМ04 </t>
  </si>
  <si>
    <t>X01</t>
  </si>
  <si>
    <t>AB-53</t>
  </si>
  <si>
    <t>MT/ST 9*5-6P6L</t>
  </si>
  <si>
    <t>Вес двери</t>
  </si>
  <si>
    <t>С</t>
  </si>
  <si>
    <t>Н</t>
  </si>
  <si>
    <t>Fusion</t>
  </si>
  <si>
    <t>Flat</t>
  </si>
  <si>
    <t>O</t>
  </si>
  <si>
    <t>I</t>
  </si>
  <si>
    <t>CKRU0004</t>
  </si>
  <si>
    <t>CKRU0006</t>
  </si>
  <si>
    <t>CKRU0640</t>
  </si>
  <si>
    <t>CKRU0216А</t>
  </si>
  <si>
    <t>Type А</t>
  </si>
  <si>
    <t>W-QL</t>
  </si>
  <si>
    <t>I-----  -----I</t>
  </si>
  <si>
    <t>I-----I</t>
  </si>
  <si>
    <t>АВ-01</t>
  </si>
  <si>
    <t>АВ20 DZ</t>
  </si>
  <si>
    <t>202-1B DZ</t>
  </si>
  <si>
    <t>CKRU0044</t>
  </si>
  <si>
    <t>ecо Type С</t>
  </si>
  <si>
    <t>CKRU0457</t>
  </si>
  <si>
    <t>CKRU0456</t>
  </si>
  <si>
    <t>CKRU0453</t>
  </si>
  <si>
    <t>CKRU0503</t>
  </si>
  <si>
    <t>CKRU0455</t>
  </si>
  <si>
    <t>CKRU0331U</t>
  </si>
  <si>
    <t>CKRU0452</t>
  </si>
  <si>
    <t>CKRU0471</t>
  </si>
  <si>
    <t>Entering Initial Data for the Calculation</t>
  </si>
  <si>
    <t>Calculation of  Pivot Doors of Aristo Standard System</t>
  </si>
  <si>
    <t>Calculation of Sliding Doors of Aristo Standard System</t>
  </si>
  <si>
    <t>Calculation of Sliding Doors of Aristo Eco System</t>
  </si>
  <si>
    <t>Calculation Result</t>
  </si>
  <si>
    <t>Door dimensions:</t>
  </si>
  <si>
    <t>Height</t>
  </si>
  <si>
    <t>Width</t>
  </si>
  <si>
    <t>Profiles:</t>
  </si>
  <si>
    <t>Code</t>
  </si>
  <si>
    <t>Size</t>
  </si>
  <si>
    <t>Amount</t>
  </si>
  <si>
    <t>Accessories:</t>
  </si>
  <si>
    <t>Panel</t>
  </si>
  <si>
    <t>Material</t>
  </si>
  <si>
    <t>Insert 1 (automatically calculated)</t>
  </si>
  <si>
    <t>Insert 2</t>
  </si>
  <si>
    <t>Insert 3</t>
  </si>
  <si>
    <t>Insert 4</t>
  </si>
  <si>
    <t>Insert 5 (bottom of the door)</t>
  </si>
  <si>
    <t>Number of inserts for one door:</t>
  </si>
  <si>
    <t>Weight of one door:</t>
  </si>
  <si>
    <t>To calculate the size and number of components, enter the data in the table</t>
  </si>
  <si>
    <t>Contents</t>
  </si>
  <si>
    <t>Double Top Track</t>
  </si>
  <si>
    <t>Double Bottom Track</t>
  </si>
  <si>
    <t>Top Rail</t>
  </si>
  <si>
    <t>Bottom Rail</t>
  </si>
  <si>
    <t>Dividing Rail</t>
  </si>
  <si>
    <t>Dividing Rail W/o Screw</t>
  </si>
  <si>
    <t>Wheels Set</t>
  </si>
  <si>
    <t>Silicon Gasket U Shape 8 mm</t>
  </si>
  <si>
    <t>Silicon Gasket U Shape 4 mm</t>
  </si>
  <si>
    <t>888A-223</t>
  </si>
  <si>
    <t>888A-321</t>
  </si>
  <si>
    <t>Bottom Track Positioner</t>
  </si>
  <si>
    <t>Hole Cover, Self-adhesive</t>
  </si>
  <si>
    <t>Weather Strip</t>
  </si>
  <si>
    <t>Weather Strip Clip, 9*5, Silver</t>
  </si>
  <si>
    <t>Screw 6*30mm (for dividing rails with screw)</t>
  </si>
  <si>
    <t>Height of the door opening</t>
  </si>
  <si>
    <t>Width of the opening, covered by the doors</t>
  </si>
  <si>
    <t>Position of the doors</t>
  </si>
  <si>
    <t>Number of doors</t>
  </si>
  <si>
    <t>Number of overlaps</t>
  </si>
  <si>
    <t>Number of dividing rails for one door</t>
  </si>
  <si>
    <t>Track Positioner</t>
  </si>
  <si>
    <t>Element for hiding the door holes</t>
  </si>
  <si>
    <t>Chipboard, 10 mm</t>
  </si>
  <si>
    <t>Chipboard, 8 mm</t>
  </si>
  <si>
    <t>Glass/mirror  4 mm</t>
  </si>
  <si>
    <t>Incorrect insertion heights</t>
  </si>
  <si>
    <t>Correct insert heights</t>
  </si>
  <si>
    <t>Indicate the height of Insert 5 (bottom of the door)</t>
  </si>
  <si>
    <t>With screw</t>
  </si>
  <si>
    <t>W/o screw</t>
  </si>
  <si>
    <t>It is not possible to use 8mm panel</t>
  </si>
  <si>
    <t>Hole Cover</t>
  </si>
  <si>
    <t>yes</t>
  </si>
  <si>
    <t>no</t>
  </si>
  <si>
    <t>bottom</t>
  </si>
  <si>
    <t>Stile C</t>
  </si>
  <si>
    <t>Stile H</t>
  </si>
  <si>
    <t>Dividing Rail option*</t>
  </si>
  <si>
    <t>Pivot Track</t>
  </si>
  <si>
    <t>Element for hiding the door holes**</t>
  </si>
  <si>
    <t>Type of Magnetic Latch</t>
  </si>
  <si>
    <t>Magnetic Latch with Base</t>
  </si>
  <si>
    <t>Magnetic Push Latch with Base</t>
  </si>
  <si>
    <t>Weather Strip PU</t>
  </si>
  <si>
    <t>Pivot Set</t>
  </si>
  <si>
    <t>top</t>
  </si>
  <si>
    <t>Magnetic Latch</t>
  </si>
  <si>
    <t>Magnetic Push Latch</t>
  </si>
  <si>
    <t>Décor Plate for Soft Closer</t>
  </si>
  <si>
    <t>Total number of door soft closers (pcs.)</t>
  </si>
  <si>
    <t>Universal Soft Closer*</t>
  </si>
  <si>
    <t>Top Track Positioner</t>
  </si>
  <si>
    <t>Dust Protection Gasket</t>
  </si>
  <si>
    <t>Stile Fusion</t>
  </si>
  <si>
    <t>Stile Flat</t>
  </si>
  <si>
    <t>Stile O</t>
  </si>
  <si>
    <t>Stile I</t>
  </si>
  <si>
    <t>Type of Stile</t>
  </si>
  <si>
    <t>Lock Fusion for Two-level Doors</t>
  </si>
  <si>
    <t>Universal Lock for Sliding Doors</t>
  </si>
  <si>
    <t>Lock for Asymmetric Stiles</t>
  </si>
  <si>
    <t>* Door weight calculation does not take the evenness of the floor into account</t>
  </si>
  <si>
    <t>Lock for Asymmetric Stiles (for Stile С, Flat, О, I)</t>
  </si>
  <si>
    <t>Straight Molding</t>
  </si>
  <si>
    <t xml:space="preserve">Top </t>
  </si>
  <si>
    <t>Bottom</t>
  </si>
  <si>
    <t xml:space="preserve">* wrapped dividing rails are only available with screw </t>
  </si>
  <si>
    <t>** For stiles Flat and Fusion we recommend to use Weather Strip / Weather Strip PU</t>
  </si>
  <si>
    <t>Contour</t>
  </si>
  <si>
    <t>Stile Contour</t>
  </si>
  <si>
    <t>Recessed Single Bottom Track</t>
  </si>
  <si>
    <t>AS0504.VP540</t>
  </si>
  <si>
    <t>AS0690.VP540</t>
  </si>
  <si>
    <t>AS0046.VP540</t>
  </si>
  <si>
    <t>AS0004.VP540</t>
  </si>
  <si>
    <t>AS0006.VP540</t>
  </si>
  <si>
    <t>AS0640.VP540</t>
  </si>
  <si>
    <t>AS0216.AP540</t>
  </si>
  <si>
    <t>AS0591.VP540</t>
  </si>
  <si>
    <t>AS0010.BP540</t>
  </si>
  <si>
    <t>AS0008.DP540</t>
  </si>
  <si>
    <t>FA0413.VP540</t>
  </si>
  <si>
    <t>AS0533.VP540</t>
  </si>
  <si>
    <t>AS0482.VP540</t>
  </si>
  <si>
    <t>AS0639.VP540</t>
  </si>
  <si>
    <t>AS0160.VS000</t>
  </si>
  <si>
    <t>AS0161.VS000</t>
  </si>
  <si>
    <t>AA0098.VM100</t>
  </si>
  <si>
    <t>AA0084.VM100</t>
  </si>
  <si>
    <t>AA0230.VR000</t>
  </si>
  <si>
    <t>AA0250.VR000</t>
  </si>
  <si>
    <t>AA0270.VR000</t>
  </si>
  <si>
    <t>AS0001.VP000</t>
  </si>
  <si>
    <t>AS0101.VP000</t>
  </si>
  <si>
    <t>AS0053.VP000</t>
  </si>
  <si>
    <t>AA0956.VM150</t>
  </si>
  <si>
    <t>AA0040.VP000.IN0EP.CO</t>
  </si>
  <si>
    <t>AA0104.VM100</t>
  </si>
  <si>
    <t>AA0100.VM100</t>
  </si>
  <si>
    <t>AA0075.VP000</t>
  </si>
  <si>
    <t>FH0101.VP000</t>
  </si>
  <si>
    <t>AS0813.VP000</t>
  </si>
  <si>
    <t>AS0812.VP000</t>
  </si>
  <si>
    <t>I2</t>
  </si>
  <si>
    <t>Stile I2</t>
  </si>
  <si>
    <t>AS0645.VP540</t>
  </si>
  <si>
    <t>AS0484.VP540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</si>
</sst>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,##0&quot; мм&quot;"/>
    <numFmt numFmtId="165" formatCode="#,##0&quot; шт.&quot;"/>
    <numFmt numFmtId="166" formatCode="#,##0&quot; комп.&quot;"/>
    <numFmt numFmtId="167" formatCode="#,##0&quot; mm&quot;"/>
    <numFmt numFmtId="168" formatCode="#,##0&quot; pcs.&quot;"/>
    <numFmt numFmtId="169" formatCode="#,##0&quot; set&quot;"/>
    <numFmt numFmtId="170" formatCode="#,##0&quot; m&quot;"/>
    <numFmt numFmtId="171" formatCode="#,##0&quot; kg.&quot;"/>
    <numFmt numFmtId="172" formatCode="#,##0&quot; pc.&quot;"/>
    <numFmt numFmtId="173" formatCode="#,##0&quot; set.&quot;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theme="1"/>
      <name val="Candara"/>
      <family val="2"/>
      <charset val="204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9">
    <xf numFmtId="0" fontId="0" fillId="0" borderId="0" xfId="0"/>
    <xf numFmtId="164" fontId="2" fillId="0" borderId="0" xfId="0" applyNumberFormat="1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0" fillId="4" borderId="11" xfId="0" applyFill="1" applyBorder="1"/>
    <xf numFmtId="0" fontId="0" fillId="4" borderId="13" xfId="0" applyFill="1" applyBorder="1"/>
    <xf numFmtId="0" fontId="0" fillId="4" borderId="18" xfId="0" applyFill="1" applyBorder="1"/>
    <xf numFmtId="0" fontId="0" fillId="4" borderId="0" xfId="0" applyFill="1"/>
    <xf numFmtId="0" fontId="0" fillId="4" borderId="19" xfId="0" applyFill="1" applyBorder="1"/>
    <xf numFmtId="0" fontId="0" fillId="4" borderId="0" xfId="0" applyFill="1" applyBorder="1"/>
    <xf numFmtId="0" fontId="0" fillId="4" borderId="10" xfId="0" applyFill="1" applyBorder="1"/>
    <xf numFmtId="0" fontId="0" fillId="4" borderId="12" xfId="0" applyFill="1" applyBorder="1"/>
    <xf numFmtId="0" fontId="0" fillId="4" borderId="16" xfId="0" applyFill="1" applyBorder="1"/>
    <xf numFmtId="0" fontId="0" fillId="4" borderId="20" xfId="0" applyFill="1" applyBorder="1"/>
    <xf numFmtId="0" fontId="1" fillId="3" borderId="1" xfId="0" applyFont="1" applyFill="1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right" vertical="center"/>
    </xf>
    <xf numFmtId="0" fontId="14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4" fontId="1" fillId="0" borderId="0" xfId="0" applyNumberFormat="1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1" fillId="0" borderId="0" xfId="0" applyFont="1" applyFill="1" applyProtection="1"/>
    <xf numFmtId="0" fontId="0" fillId="0" borderId="0" xfId="0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1" fillId="2" borderId="21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1" fillId="3" borderId="21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" fillId="0" borderId="7" xfId="0" applyFont="1" applyBorder="1" applyProtection="1"/>
    <xf numFmtId="0" fontId="1" fillId="0" borderId="1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vertical="center" wrapText="1"/>
    </xf>
    <xf numFmtId="0" fontId="1" fillId="0" borderId="0" xfId="0" applyFont="1" applyAlignment="1" applyProtection="1">
      <alignment horizontal="left" vertical="center"/>
    </xf>
    <xf numFmtId="0" fontId="9" fillId="0" borderId="4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Protection="1"/>
    <xf numFmtId="0" fontId="9" fillId="0" borderId="19" xfId="0" applyFont="1" applyFill="1" applyBorder="1" applyAlignment="1" applyProtection="1">
      <alignment horizontal="center" vertical="center"/>
    </xf>
    <xf numFmtId="4" fontId="1" fillId="0" borderId="0" xfId="0" applyNumberFormat="1" applyFont="1" applyAlignment="1" applyProtection="1">
      <alignment vertical="center"/>
    </xf>
    <xf numFmtId="166" fontId="1" fillId="0" borderId="0" xfId="0" applyNumberFormat="1" applyFont="1" applyAlignment="1" applyProtection="1">
      <alignment vertical="center"/>
    </xf>
    <xf numFmtId="0" fontId="1" fillId="0" borderId="0" xfId="0" applyFont="1" applyBorder="1" applyProtection="1"/>
    <xf numFmtId="0" fontId="6" fillId="0" borderId="0" xfId="0" applyFont="1" applyProtection="1"/>
    <xf numFmtId="0" fontId="7" fillId="0" borderId="1" xfId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165" fontId="2" fillId="0" borderId="0" xfId="0" applyNumberFormat="1" applyFont="1" applyFill="1" applyBorder="1" applyAlignment="1" applyProtection="1">
      <alignment vertical="center" wrapText="1"/>
    </xf>
    <xf numFmtId="0" fontId="4" fillId="0" borderId="0" xfId="0" applyFont="1" applyProtection="1"/>
    <xf numFmtId="0" fontId="1" fillId="0" borderId="7" xfId="0" applyFont="1" applyBorder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167" fontId="1" fillId="5" borderId="1" xfId="0" applyNumberFormat="1" applyFont="1" applyFill="1" applyBorder="1" applyAlignment="1" applyProtection="1">
      <alignment horizontal="center" vertical="center"/>
    </xf>
    <xf numFmtId="167" fontId="1" fillId="3" borderId="1" xfId="0" applyNumberFormat="1" applyFont="1" applyFill="1" applyBorder="1" applyAlignment="1" applyProtection="1">
      <alignment horizontal="center" vertical="center"/>
      <protection locked="0"/>
    </xf>
    <xf numFmtId="167" fontId="1" fillId="3" borderId="4" xfId="0" applyNumberFormat="1" applyFont="1" applyFill="1" applyBorder="1" applyAlignment="1" applyProtection="1">
      <alignment horizontal="center" vertical="center"/>
      <protection locked="0"/>
    </xf>
    <xf numFmtId="168" fontId="1" fillId="0" borderId="8" xfId="0" applyNumberFormat="1" applyFont="1" applyBorder="1" applyAlignment="1" applyProtection="1">
      <alignment horizontal="center" vertical="center"/>
    </xf>
    <xf numFmtId="168" fontId="1" fillId="0" borderId="5" xfId="0" applyNumberFormat="1" applyFont="1" applyBorder="1" applyAlignment="1" applyProtection="1">
      <alignment horizontal="center" vertical="center"/>
    </xf>
    <xf numFmtId="167" fontId="2" fillId="0" borderId="1" xfId="0" applyNumberFormat="1" applyFont="1" applyFill="1" applyBorder="1" applyAlignment="1" applyProtection="1">
      <alignment horizontal="center" vertical="center"/>
    </xf>
    <xf numFmtId="167" fontId="2" fillId="0" borderId="1" xfId="0" applyNumberFormat="1" applyFont="1" applyBorder="1" applyAlignment="1" applyProtection="1">
      <alignment horizontal="center" vertical="center"/>
    </xf>
    <xf numFmtId="167" fontId="2" fillId="0" borderId="4" xfId="0" applyNumberFormat="1" applyFont="1" applyBorder="1" applyAlignment="1" applyProtection="1">
      <alignment horizontal="center" vertical="center"/>
    </xf>
    <xf numFmtId="167" fontId="2" fillId="0" borderId="3" xfId="0" applyNumberFormat="1" applyFont="1" applyBorder="1" applyAlignment="1" applyProtection="1">
      <alignment horizontal="center" vertical="center"/>
    </xf>
    <xf numFmtId="167" fontId="2" fillId="0" borderId="5" xfId="0" applyNumberFormat="1" applyFont="1" applyBorder="1" applyAlignment="1" applyProtection="1">
      <alignment horizontal="center" vertical="center"/>
    </xf>
    <xf numFmtId="171" fontId="1" fillId="0" borderId="21" xfId="0" applyNumberFormat="1" applyFont="1" applyBorder="1" applyAlignment="1" applyProtection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26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/>
    <xf numFmtId="168" fontId="13" fillId="0" borderId="0" xfId="0" applyNumberFormat="1" applyFont="1" applyFill="1" applyAlignment="1" applyProtection="1">
      <alignment vertical="center"/>
    </xf>
    <xf numFmtId="172" fontId="13" fillId="0" borderId="0" xfId="0" applyNumberFormat="1" applyFont="1" applyFill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164" fontId="1" fillId="0" borderId="0" xfId="0" applyNumberFormat="1" applyFont="1" applyProtection="1"/>
    <xf numFmtId="9" fontId="1" fillId="0" borderId="1" xfId="0" applyNumberFormat="1" applyFont="1" applyFill="1" applyBorder="1" applyAlignment="1" applyProtection="1">
      <alignment horizontal="center" vertical="center"/>
      <protection hidden="1"/>
    </xf>
    <xf numFmtId="9" fontId="1" fillId="0" borderId="4" xfId="0" applyNumberFormat="1" applyFont="1" applyFill="1" applyBorder="1" applyAlignment="1" applyProtection="1">
      <alignment horizontal="center" vertical="center"/>
      <protection hidden="1"/>
    </xf>
    <xf numFmtId="164" fontId="1" fillId="0" borderId="1" xfId="0" applyNumberFormat="1" applyFont="1" applyBorder="1" applyAlignment="1" applyProtection="1">
      <alignment horizontal="center" vertical="center"/>
    </xf>
    <xf numFmtId="164" fontId="1" fillId="0" borderId="4" xfId="0" applyNumberFormat="1" applyFont="1" applyBorder="1" applyAlignment="1" applyProtection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7" fontId="1" fillId="0" borderId="1" xfId="0" applyNumberFormat="1" applyFont="1" applyBorder="1" applyAlignment="1" applyProtection="1">
      <alignment horizontal="center" vertical="center"/>
    </xf>
    <xf numFmtId="167" fontId="1" fillId="0" borderId="4" xfId="0" applyNumberFormat="1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 wrapText="1"/>
    </xf>
    <xf numFmtId="168" fontId="2" fillId="0" borderId="1" xfId="0" applyNumberFormat="1" applyFont="1" applyBorder="1" applyAlignment="1" applyProtection="1">
      <alignment horizontal="center" vertical="center" wrapText="1"/>
    </xf>
    <xf numFmtId="168" fontId="11" fillId="0" borderId="8" xfId="0" applyNumberFormat="1" applyFont="1" applyBorder="1" applyAlignment="1" applyProtection="1">
      <alignment horizontal="center" vertical="center" wrapText="1"/>
    </xf>
    <xf numFmtId="170" fontId="2" fillId="0" borderId="1" xfId="0" applyNumberFormat="1" applyFont="1" applyBorder="1" applyAlignment="1" applyProtection="1">
      <alignment horizontal="center" vertical="center" wrapText="1"/>
    </xf>
    <xf numFmtId="170" fontId="11" fillId="0" borderId="8" xfId="0" applyNumberFormat="1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vertical="center"/>
    </xf>
    <xf numFmtId="0" fontId="3" fillId="2" borderId="14" xfId="0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vertical="center"/>
    </xf>
    <xf numFmtId="0" fontId="3" fillId="2" borderId="15" xfId="0" applyFont="1" applyFill="1" applyBorder="1" applyAlignment="1" applyProtection="1">
      <alignment vertical="center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167" fontId="2" fillId="3" borderId="2" xfId="0" applyNumberFormat="1" applyFont="1" applyFill="1" applyBorder="1" applyAlignment="1" applyProtection="1">
      <alignment horizontal="center" vertical="center"/>
      <protection locked="0"/>
    </xf>
    <xf numFmtId="167" fontId="2" fillId="3" borderId="3" xfId="0" applyNumberFormat="1" applyFont="1" applyFill="1" applyBorder="1" applyAlignment="1" applyProtection="1">
      <alignment horizontal="center" vertical="center"/>
      <protection locked="0"/>
    </xf>
    <xf numFmtId="167" fontId="2" fillId="3" borderId="1" xfId="0" applyNumberFormat="1" applyFont="1" applyFill="1" applyBorder="1" applyAlignment="1" applyProtection="1">
      <alignment horizontal="center" vertical="center"/>
      <protection locked="0"/>
    </xf>
    <xf numFmtId="167" fontId="2" fillId="3" borderId="8" xfId="0" applyNumberFormat="1" applyFont="1" applyFill="1" applyBorder="1" applyAlignment="1" applyProtection="1">
      <alignment horizontal="center" vertical="center"/>
      <protection locked="0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164" fontId="2" fillId="3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173" fontId="2" fillId="0" borderId="1" xfId="0" applyNumberFormat="1" applyFont="1" applyBorder="1" applyAlignment="1" applyProtection="1">
      <alignment horizontal="center" vertical="center" wrapText="1"/>
    </xf>
    <xf numFmtId="173" fontId="2" fillId="0" borderId="8" xfId="0" applyNumberFormat="1" applyFont="1" applyBorder="1" applyAlignment="1" applyProtection="1">
      <alignment horizontal="center" vertical="center" wrapText="1"/>
    </xf>
    <xf numFmtId="168" fontId="2" fillId="0" borderId="4" xfId="0" applyNumberFormat="1" applyFont="1" applyBorder="1" applyAlignment="1" applyProtection="1">
      <alignment horizontal="center" vertical="center" wrapText="1"/>
    </xf>
    <xf numFmtId="168" fontId="11" fillId="0" borderId="5" xfId="0" applyNumberFormat="1" applyFont="1" applyBorder="1" applyAlignment="1" applyProtection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70" fontId="2" fillId="0" borderId="1" xfId="0" applyNumberFormat="1" applyFont="1" applyBorder="1" applyAlignment="1" applyProtection="1">
      <alignment horizontal="center" vertical="center"/>
    </xf>
    <xf numFmtId="170" fontId="2" fillId="0" borderId="8" xfId="0" applyNumberFormat="1" applyFont="1" applyBorder="1" applyAlignment="1" applyProtection="1">
      <alignment horizontal="center" vertical="center"/>
    </xf>
    <xf numFmtId="168" fontId="2" fillId="0" borderId="8" xfId="0" applyNumberFormat="1" applyFont="1" applyBorder="1" applyAlignment="1" applyProtection="1">
      <alignment horizontal="center" vertical="center" wrapText="1"/>
    </xf>
    <xf numFmtId="168" fontId="2" fillId="0" borderId="1" xfId="0" applyNumberFormat="1" applyFont="1" applyBorder="1" applyAlignment="1" applyProtection="1">
      <alignment horizontal="center"/>
    </xf>
    <xf numFmtId="168" fontId="2" fillId="0" borderId="8" xfId="0" applyNumberFormat="1" applyFont="1" applyBorder="1" applyAlignment="1" applyProtection="1">
      <alignment horizontal="center"/>
    </xf>
    <xf numFmtId="170" fontId="2" fillId="0" borderId="8" xfId="0" applyNumberFormat="1" applyFont="1" applyBorder="1" applyAlignment="1" applyProtection="1">
      <alignment horizontal="center" vertical="center" wrapText="1"/>
    </xf>
    <xf numFmtId="170" fontId="2" fillId="0" borderId="1" xfId="0" applyNumberFormat="1" applyFont="1" applyBorder="1" applyAlignment="1" applyProtection="1">
      <alignment horizontal="center"/>
    </xf>
    <xf numFmtId="170" fontId="2" fillId="0" borderId="8" xfId="0" applyNumberFormat="1" applyFont="1" applyBorder="1" applyAlignment="1" applyProtection="1">
      <alignment horizontal="center"/>
    </xf>
    <xf numFmtId="0" fontId="1" fillId="0" borderId="6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7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22" xfId="0" applyFont="1" applyBorder="1" applyAlignment="1" applyProtection="1">
      <alignment horizontal="left" vertical="center"/>
    </xf>
    <xf numFmtId="0" fontId="1" fillId="0" borderId="23" xfId="0" applyFont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/>
    </xf>
    <xf numFmtId="168" fontId="2" fillId="0" borderId="1" xfId="0" applyNumberFormat="1" applyFont="1" applyBorder="1" applyAlignment="1" applyProtection="1">
      <alignment horizontal="center" vertical="center"/>
    </xf>
    <xf numFmtId="168" fontId="2" fillId="0" borderId="8" xfId="0" applyNumberFormat="1" applyFont="1" applyBorder="1" applyAlignment="1" applyProtection="1">
      <alignment horizontal="center" vertical="center"/>
    </xf>
    <xf numFmtId="164" fontId="4" fillId="2" borderId="17" xfId="0" applyNumberFormat="1" applyFont="1" applyFill="1" applyBorder="1" applyAlignment="1">
      <alignment horizontal="center" vertical="center" wrapText="1"/>
    </xf>
    <xf numFmtId="164" fontId="4" fillId="2" borderId="25" xfId="0" applyNumberFormat="1" applyFont="1" applyFill="1" applyBorder="1" applyAlignment="1">
      <alignment horizontal="center" vertical="center" wrapText="1"/>
    </xf>
    <xf numFmtId="0" fontId="8" fillId="0" borderId="22" xfId="0" applyFont="1" applyBorder="1" applyAlignment="1" applyProtection="1">
      <alignment horizontal="left" vertical="center" wrapText="1"/>
    </xf>
    <xf numFmtId="0" fontId="8" fillId="0" borderId="23" xfId="0" applyFont="1" applyBorder="1" applyAlignment="1" applyProtection="1">
      <alignment horizontal="left" vertical="center" wrapText="1"/>
    </xf>
    <xf numFmtId="0" fontId="8" fillId="0" borderId="27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15" xfId="0" applyFont="1" applyFill="1" applyBorder="1" applyAlignment="1" applyProtection="1">
      <alignment horizontal="left" vertical="center"/>
    </xf>
    <xf numFmtId="0" fontId="0" fillId="3" borderId="4" xfId="0" applyFont="1" applyFill="1" applyBorder="1" applyAlignment="1" applyProtection="1">
      <alignment horizontal="center" vertical="center" wrapText="1"/>
      <protection locked="0"/>
    </xf>
    <xf numFmtId="0" fontId="0" fillId="3" borderId="5" xfId="0" applyFont="1" applyFill="1" applyBorder="1" applyAlignment="1" applyProtection="1">
      <alignment horizontal="center" vertical="center" wrapText="1"/>
      <protection locked="0"/>
    </xf>
    <xf numFmtId="169" fontId="2" fillId="0" borderId="1" xfId="0" applyNumberFormat="1" applyFont="1" applyBorder="1" applyAlignment="1" applyProtection="1">
      <alignment horizontal="center" vertical="center" wrapText="1"/>
    </xf>
    <xf numFmtId="169" fontId="2" fillId="0" borderId="8" xfId="0" applyNumberFormat="1" applyFont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1"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Standard Sliding Doors'!A1"/><Relationship Id="rId2" Type="http://schemas.openxmlformats.org/officeDocument/2006/relationships/hyperlink" Target="#'Standard Pivot Doors'!A1"/><Relationship Id="rId1" Type="http://schemas.openxmlformats.org/officeDocument/2006/relationships/hyperlink" Target="#'Eco Sliding Doors'!A1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396327</xdr:colOff>
      <xdr:row>10</xdr:row>
      <xdr:rowOff>157407</xdr:rowOff>
    </xdr:from>
    <xdr:ext cx="3042000" cy="342786"/>
    <xdr:sp macro="" textlink="">
      <xdr:nvSpPr>
        <xdr:cNvPr id="2" name="Прямоугольни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615527" y="1986207"/>
          <a:ext cx="3042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en-US" sz="1600" b="0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rgbClr val="92D050"/>
              </a:solidFill>
              <a:effectLst>
                <a:outerShdw blurRad="50800" algn="tl" rotWithShape="0">
                  <a:srgbClr val="000000"/>
                </a:outerShdw>
              </a:effectLst>
            </a:rPr>
            <a:t>Eco Sliding Doors</a:t>
          </a:r>
          <a:endParaRPr lang="ru-RU" sz="1600" b="0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rgbClr val="92D050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2</xdr:col>
      <xdr:colOff>404264</xdr:colOff>
      <xdr:row>8</xdr:row>
      <xdr:rowOff>142143</xdr:rowOff>
    </xdr:from>
    <xdr:ext cx="3042000" cy="342786"/>
    <xdr:sp macro="" textlink="">
      <xdr:nvSpPr>
        <xdr:cNvPr id="3" name="Прямоугольник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623464" y="1666143"/>
          <a:ext cx="3042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en-US" sz="1600" b="0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rgbClr val="92D050"/>
              </a:solidFill>
              <a:effectLst>
                <a:outerShdw blurRad="50800" algn="tl" rotWithShape="0">
                  <a:srgbClr val="000000"/>
                </a:outerShdw>
              </a:effectLst>
            </a:rPr>
            <a:t>Standard Pivot Doors</a:t>
          </a:r>
          <a:endParaRPr lang="ru-RU" sz="1600" b="0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rgbClr val="92D050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2</xdr:col>
      <xdr:colOff>404203</xdr:colOff>
      <xdr:row>6</xdr:row>
      <xdr:rowOff>126877</xdr:rowOff>
    </xdr:from>
    <xdr:ext cx="3042000" cy="342786"/>
    <xdr:sp macro="" textlink="">
      <xdr:nvSpPr>
        <xdr:cNvPr id="4" name="Прямоугольник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623403" y="1224157"/>
          <a:ext cx="3042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en-US" sz="1600" b="0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rgbClr val="92D050"/>
              </a:solidFill>
              <a:effectLst>
                <a:outerShdw blurRad="50800" algn="tl" rotWithShape="0">
                  <a:srgbClr val="000000"/>
                </a:outerShdw>
              </a:effectLst>
            </a:rPr>
            <a:t>Standard</a:t>
          </a:r>
          <a:r>
            <a:rPr lang="en-US" sz="1600" b="0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rgbClr val="92D050"/>
              </a:solidFill>
              <a:effectLst>
                <a:outerShdw blurRad="50800" algn="tl" rotWithShape="0">
                  <a:srgbClr val="000000"/>
                </a:outerShdw>
              </a:effectLst>
            </a:rPr>
            <a:t> Sliding Doors</a:t>
          </a:r>
          <a:endParaRPr lang="ru-RU" sz="1600" b="0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rgbClr val="92D050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 editAs="oneCell">
    <xdr:from>
      <xdr:col>8</xdr:col>
      <xdr:colOff>376167</xdr:colOff>
      <xdr:row>0</xdr:row>
      <xdr:rowOff>51420</xdr:rowOff>
    </xdr:from>
    <xdr:to>
      <xdr:col>9</xdr:col>
      <xdr:colOff>545121</xdr:colOff>
      <xdr:row>2</xdr:row>
      <xdr:rowOff>139212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00567" y="51420"/>
          <a:ext cx="778554" cy="468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772885</xdr:colOff>
      <xdr:row>37</xdr:row>
      <xdr:rowOff>163285</xdr:rowOff>
    </xdr:from>
    <xdr:to>
      <xdr:col>1</xdr:col>
      <xdr:colOff>2137683</xdr:colOff>
      <xdr:row>50</xdr:row>
      <xdr:rowOff>39457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E5F4E4F-75A5-420E-A25B-2489B8067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9714" y="9514114"/>
          <a:ext cx="1364798" cy="28806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696686</xdr:colOff>
      <xdr:row>30</xdr:row>
      <xdr:rowOff>32657</xdr:rowOff>
    </xdr:from>
    <xdr:to>
      <xdr:col>1</xdr:col>
      <xdr:colOff>2061484</xdr:colOff>
      <xdr:row>41</xdr:row>
      <xdr:rowOff>224515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1C9F74E-1C19-4F84-95A7-9A5E4A842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3515" y="7620000"/>
          <a:ext cx="1364798" cy="28806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638174</xdr:colOff>
      <xdr:row>30</xdr:row>
      <xdr:rowOff>4085</xdr:rowOff>
    </xdr:from>
    <xdr:to>
      <xdr:col>1</xdr:col>
      <xdr:colOff>2002972</xdr:colOff>
      <xdr:row>41</xdr:row>
      <xdr:rowOff>195943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55DBC0B0-DAB2-4594-A8E8-EFEAE2281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003" y="7591428"/>
          <a:ext cx="1364798" cy="28806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9"/>
  <sheetViews>
    <sheetView tabSelected="1" workbookViewId="0"/>
  </sheetViews>
  <sheetFormatPr defaultColWidth="8.88671875" defaultRowHeight="14.4" x14ac:dyDescent="0.3"/>
  <sheetData>
    <row r="1" spans="1:11" x14ac:dyDescent="0.3">
      <c r="A1" s="4"/>
      <c r="B1" s="5"/>
      <c r="C1" s="5"/>
      <c r="D1" s="5"/>
      <c r="E1" s="5"/>
      <c r="F1" s="5"/>
      <c r="G1" s="5"/>
      <c r="H1" s="5"/>
      <c r="I1" s="5"/>
      <c r="J1" s="6"/>
      <c r="K1" s="7"/>
    </row>
    <row r="2" spans="1:11" x14ac:dyDescent="0.3">
      <c r="A2" s="8"/>
      <c r="B2" s="9"/>
      <c r="C2" s="9"/>
      <c r="D2" s="9"/>
      <c r="E2" s="9"/>
      <c r="F2" s="9"/>
      <c r="G2" s="9"/>
      <c r="H2" s="9"/>
      <c r="I2" s="9"/>
      <c r="J2" s="10"/>
      <c r="K2" s="7"/>
    </row>
    <row r="3" spans="1:11" x14ac:dyDescent="0.3">
      <c r="A3" s="8"/>
      <c r="B3" s="9"/>
      <c r="C3" s="9"/>
      <c r="D3" s="9"/>
      <c r="E3" s="9"/>
      <c r="F3" s="9"/>
      <c r="G3" s="9"/>
      <c r="H3" s="9"/>
      <c r="I3" s="9"/>
      <c r="J3" s="10"/>
      <c r="K3" s="7"/>
    </row>
    <row r="4" spans="1:11" x14ac:dyDescent="0.3">
      <c r="A4" s="8"/>
      <c r="B4" s="9"/>
      <c r="C4" s="9"/>
      <c r="D4" s="9"/>
      <c r="E4" s="9"/>
      <c r="F4" s="9"/>
      <c r="G4" s="9"/>
      <c r="H4" s="9"/>
      <c r="I4" s="9"/>
      <c r="J4" s="10"/>
      <c r="K4" s="7"/>
    </row>
    <row r="5" spans="1:11" x14ac:dyDescent="0.3">
      <c r="A5" s="8"/>
      <c r="B5" s="9"/>
      <c r="C5" s="9"/>
      <c r="D5" s="9"/>
      <c r="E5" s="9"/>
      <c r="F5" s="9"/>
      <c r="G5" s="9"/>
      <c r="H5" s="9"/>
      <c r="I5" s="9"/>
      <c r="J5" s="10"/>
      <c r="K5" s="7"/>
    </row>
    <row r="6" spans="1:11" x14ac:dyDescent="0.3">
      <c r="A6" s="8"/>
      <c r="B6" s="9"/>
      <c r="C6" s="9"/>
      <c r="D6" s="9"/>
      <c r="E6" s="9"/>
      <c r="F6" s="9"/>
      <c r="G6" s="9"/>
      <c r="H6" s="9"/>
      <c r="I6" s="9"/>
      <c r="J6" s="10"/>
      <c r="K6" s="7"/>
    </row>
    <row r="7" spans="1:11" x14ac:dyDescent="0.3">
      <c r="A7" s="8"/>
      <c r="B7" s="9"/>
      <c r="C7" s="9"/>
      <c r="D7" s="9"/>
      <c r="E7" s="9"/>
      <c r="F7" s="9"/>
      <c r="G7" s="9"/>
      <c r="H7" s="9"/>
      <c r="I7" s="9"/>
      <c r="J7" s="10"/>
      <c r="K7" s="7"/>
    </row>
    <row r="8" spans="1:11" x14ac:dyDescent="0.3">
      <c r="A8" s="8"/>
      <c r="B8" s="9"/>
      <c r="C8" s="9"/>
      <c r="D8" s="9"/>
      <c r="E8" s="9"/>
      <c r="F8" s="9"/>
      <c r="G8" s="9"/>
      <c r="H8" s="9"/>
      <c r="I8" s="9"/>
      <c r="J8" s="10"/>
      <c r="K8" s="7"/>
    </row>
    <row r="9" spans="1:11" x14ac:dyDescent="0.3">
      <c r="A9" s="8"/>
      <c r="B9" s="9"/>
      <c r="C9" s="9"/>
      <c r="D9" s="9"/>
      <c r="E9" s="9"/>
      <c r="F9" s="9"/>
      <c r="G9" s="9"/>
      <c r="H9" s="9"/>
      <c r="I9" s="9"/>
      <c r="J9" s="10"/>
      <c r="K9" s="7"/>
    </row>
    <row r="10" spans="1:11" x14ac:dyDescent="0.3">
      <c r="A10" s="8"/>
      <c r="B10" s="9"/>
      <c r="C10" s="9"/>
      <c r="D10" s="9"/>
      <c r="E10" s="9"/>
      <c r="F10" s="9"/>
      <c r="G10" s="9"/>
      <c r="H10" s="9"/>
      <c r="I10" s="9"/>
      <c r="J10" s="10"/>
      <c r="K10" s="7"/>
    </row>
    <row r="11" spans="1:11" x14ac:dyDescent="0.3">
      <c r="A11" s="8"/>
      <c r="B11" s="9"/>
      <c r="C11" s="9"/>
      <c r="D11" s="9"/>
      <c r="E11" s="9"/>
      <c r="F11" s="9"/>
      <c r="G11" s="9"/>
      <c r="H11" s="9"/>
      <c r="I11" s="9"/>
      <c r="J11" s="10"/>
      <c r="K11" s="7"/>
    </row>
    <row r="12" spans="1:11" x14ac:dyDescent="0.3">
      <c r="A12" s="8"/>
      <c r="B12" s="9"/>
      <c r="C12" s="9"/>
      <c r="D12" s="9"/>
      <c r="E12" s="9"/>
      <c r="F12" s="9"/>
      <c r="G12" s="9"/>
      <c r="H12" s="9"/>
      <c r="I12" s="9"/>
      <c r="J12" s="10"/>
      <c r="K12" s="7"/>
    </row>
    <row r="13" spans="1:11" x14ac:dyDescent="0.3">
      <c r="A13" s="8"/>
      <c r="B13" s="9"/>
      <c r="C13" s="9"/>
      <c r="D13" s="9"/>
      <c r="E13" s="9"/>
      <c r="F13" s="9"/>
      <c r="G13" s="9"/>
      <c r="H13" s="9"/>
      <c r="I13" s="9"/>
      <c r="J13" s="10"/>
      <c r="K13" s="7"/>
    </row>
    <row r="14" spans="1:11" x14ac:dyDescent="0.3">
      <c r="A14" s="8"/>
      <c r="B14" s="9"/>
      <c r="C14" s="9"/>
      <c r="D14" s="9"/>
      <c r="E14" s="9"/>
      <c r="F14" s="9"/>
      <c r="G14" s="9"/>
      <c r="H14" s="9"/>
      <c r="I14" s="9"/>
      <c r="J14" s="10"/>
      <c r="K14" s="7"/>
    </row>
    <row r="15" spans="1:11" x14ac:dyDescent="0.3">
      <c r="A15" s="8"/>
      <c r="B15" s="9"/>
      <c r="C15" s="9"/>
      <c r="D15" s="9"/>
      <c r="E15" s="9"/>
      <c r="F15" s="9"/>
      <c r="G15" s="9"/>
      <c r="H15" s="9"/>
      <c r="I15" s="9"/>
      <c r="J15" s="10"/>
      <c r="K15" s="7"/>
    </row>
    <row r="16" spans="1:11" ht="15" thickBot="1" x14ac:dyDescent="0.35">
      <c r="A16" s="11"/>
      <c r="B16" s="12"/>
      <c r="C16" s="12"/>
      <c r="D16" s="12"/>
      <c r="E16" s="12"/>
      <c r="F16" s="12"/>
      <c r="G16" s="12"/>
      <c r="H16" s="12"/>
      <c r="I16" s="12"/>
      <c r="J16" s="13"/>
      <c r="K16" s="7"/>
    </row>
    <row r="17" spans="1:11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</sheetData>
  <sheetProtection algorithmName="SHA-512" hashValue="vaPKxcV23qiU6a/lbitPjFXlpXpEpDRx0yLOXj4wRyp8ArDbVtw8s2FUAdd8j0vmpQG7RPnT2RaXTrF2Gy2LSQ==" saltValue="d2M8mNnTlBHowtVeiu8gSg==" spinCount="100000" sheet="1" select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S76"/>
  <sheetViews>
    <sheetView zoomScale="70" zoomScaleNormal="70" workbookViewId="0">
      <selection activeCell="F6" sqref="F6:G6"/>
    </sheetView>
  </sheetViews>
  <sheetFormatPr defaultColWidth="9.109375" defaultRowHeight="18" x14ac:dyDescent="0.35"/>
  <cols>
    <col min="1" max="1" width="3" style="22" customWidth="1"/>
    <col min="2" max="2" width="40.5546875" style="22" customWidth="1"/>
    <col min="3" max="3" width="41.6640625" style="22" customWidth="1"/>
    <col min="4" max="4" width="15.6640625" style="22" customWidth="1"/>
    <col min="5" max="7" width="14.6640625" style="64" customWidth="1"/>
    <col min="8" max="8" width="2.6640625" style="22" customWidth="1"/>
    <col min="9" max="9" width="70.33203125" style="22" customWidth="1"/>
    <col min="10" max="10" width="21.109375" style="22" customWidth="1"/>
    <col min="11" max="11" width="16.6640625" style="22" customWidth="1"/>
    <col min="12" max="12" width="15.5546875" style="22" customWidth="1"/>
    <col min="13" max="13" width="15.109375" style="22" hidden="1" customWidth="1"/>
    <col min="14" max="14" width="13.33203125" style="22" hidden="1" customWidth="1"/>
    <col min="15" max="15" width="9.109375" style="22" hidden="1" customWidth="1"/>
    <col min="16" max="16" width="33.6640625" style="22" hidden="1" customWidth="1"/>
    <col min="17" max="17" width="34.6640625" style="22" hidden="1" customWidth="1"/>
    <col min="18" max="18" width="12.6640625" style="22" hidden="1" customWidth="1"/>
    <col min="19" max="19" width="31.44140625" style="22" customWidth="1"/>
    <col min="20" max="16384" width="9.109375" style="22"/>
  </cols>
  <sheetData>
    <row r="1" spans="2:18" x14ac:dyDescent="0.35">
      <c r="B1" s="21"/>
      <c r="C1" s="21"/>
      <c r="D1" s="21"/>
    </row>
    <row r="2" spans="2:18" s="23" customFormat="1" ht="27.6" customHeight="1" x14ac:dyDescent="0.3">
      <c r="B2" s="112" t="s">
        <v>41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2:18" s="24" customFormat="1" ht="20.100000000000001" customHeight="1" x14ac:dyDescent="0.35">
      <c r="B3" s="25"/>
      <c r="C3" s="25"/>
      <c r="D3" s="25"/>
      <c r="E3" s="25"/>
      <c r="F3" s="25"/>
      <c r="G3" s="25"/>
      <c r="I3" s="26"/>
      <c r="J3" s="26"/>
      <c r="K3" s="26"/>
      <c r="L3" s="26"/>
      <c r="P3" s="27" t="s">
        <v>1</v>
      </c>
      <c r="Q3" s="24" t="s">
        <v>64</v>
      </c>
      <c r="R3" s="23" t="s">
        <v>136</v>
      </c>
    </row>
    <row r="4" spans="2:18" s="24" customFormat="1" ht="20.100000000000001" customHeight="1" x14ac:dyDescent="0.3">
      <c r="B4" s="117" t="s">
        <v>39</v>
      </c>
      <c r="C4" s="117"/>
      <c r="D4" s="117"/>
      <c r="E4" s="117"/>
      <c r="F4" s="117"/>
      <c r="G4" s="63"/>
      <c r="I4" s="117" t="s">
        <v>43</v>
      </c>
      <c r="J4" s="117"/>
      <c r="K4" s="117"/>
      <c r="L4" s="117"/>
      <c r="P4" s="27" t="s">
        <v>2</v>
      </c>
      <c r="Q4" s="24" t="s">
        <v>135</v>
      </c>
      <c r="R4" s="23" t="s">
        <v>137</v>
      </c>
    </row>
    <row r="5" spans="2:18" s="23" customFormat="1" ht="20.100000000000001" customHeight="1" thickBot="1" x14ac:dyDescent="0.35">
      <c r="B5" s="28"/>
      <c r="C5" s="28"/>
      <c r="D5" s="28"/>
      <c r="E5" s="28"/>
      <c r="F5" s="28"/>
      <c r="G5" s="28"/>
      <c r="H5" s="24"/>
      <c r="I5" s="28"/>
      <c r="J5" s="28"/>
      <c r="K5" s="28"/>
      <c r="L5" s="28"/>
      <c r="P5" s="27" t="s">
        <v>3</v>
      </c>
    </row>
    <row r="6" spans="2:18" s="23" customFormat="1" ht="20.100000000000001" customHeight="1" x14ac:dyDescent="0.3">
      <c r="B6" s="150" t="s">
        <v>79</v>
      </c>
      <c r="C6" s="151"/>
      <c r="D6" s="151"/>
      <c r="E6" s="151"/>
      <c r="F6" s="126">
        <v>2700</v>
      </c>
      <c r="G6" s="127"/>
      <c r="I6" s="118" t="s">
        <v>44</v>
      </c>
      <c r="J6" s="119"/>
      <c r="K6" s="29" t="s">
        <v>45</v>
      </c>
      <c r="L6" s="88">
        <f>IF(AND(F15=P37,F13&gt;0),F6-45,
IF(AND(F15=P37,F13=0),F6-40,
F6-39))</f>
        <v>2655</v>
      </c>
      <c r="P6" s="27" t="s">
        <v>4</v>
      </c>
    </row>
    <row r="7" spans="2:18" s="23" customFormat="1" ht="20.100000000000001" customHeight="1" thickBot="1" x14ac:dyDescent="0.35">
      <c r="B7" s="152" t="s">
        <v>80</v>
      </c>
      <c r="C7" s="153"/>
      <c r="D7" s="153"/>
      <c r="E7" s="153"/>
      <c r="F7" s="128">
        <v>2000</v>
      </c>
      <c r="G7" s="129"/>
      <c r="I7" s="120"/>
      <c r="J7" s="121"/>
      <c r="K7" s="74" t="s">
        <v>46</v>
      </c>
      <c r="L7" s="89">
        <f>IF(F9=P55,Q55,IF(F9=P56,Q56,IF(F9=P57,Q57,IF(F9=P58,Q58,IF(F9=P59,Q59,IF(F9=P60,Q60,IF(F9=P61,Q61,IF(F9=P62,Q62,0))))))))</f>
        <v>1013</v>
      </c>
      <c r="P7" s="27" t="s">
        <v>5</v>
      </c>
    </row>
    <row r="8" spans="2:18" s="23" customFormat="1" ht="20.100000000000001" customHeight="1" thickBot="1" x14ac:dyDescent="0.35">
      <c r="B8" s="154" t="s">
        <v>81</v>
      </c>
      <c r="C8" s="155"/>
      <c r="D8" s="155"/>
      <c r="E8" s="155"/>
      <c r="F8" s="130" t="s">
        <v>1</v>
      </c>
      <c r="G8" s="131"/>
      <c r="I8" s="30"/>
      <c r="J8" s="30"/>
      <c r="K8" s="31"/>
      <c r="L8" s="1"/>
    </row>
    <row r="9" spans="2:18" s="23" customFormat="1" ht="20.100000000000001" customHeight="1" x14ac:dyDescent="0.3">
      <c r="B9" s="158" t="s">
        <v>122</v>
      </c>
      <c r="C9" s="159"/>
      <c r="D9" s="159"/>
      <c r="E9" s="159"/>
      <c r="F9" s="156" t="s">
        <v>12</v>
      </c>
      <c r="G9" s="157"/>
      <c r="I9" s="75" t="s">
        <v>47</v>
      </c>
      <c r="J9" s="76" t="s">
        <v>48</v>
      </c>
      <c r="K9" s="77" t="s">
        <v>49</v>
      </c>
      <c r="L9" s="78" t="s">
        <v>50</v>
      </c>
      <c r="M9" s="50"/>
    </row>
    <row r="10" spans="2:18" s="23" customFormat="1" ht="20.100000000000001" customHeight="1" x14ac:dyDescent="0.35">
      <c r="B10" s="154" t="s">
        <v>82</v>
      </c>
      <c r="C10" s="155"/>
      <c r="D10" s="155"/>
      <c r="E10" s="155"/>
      <c r="F10" s="132">
        <f>IF(F8=P3,2,IF(F8=P4,3,IF(F8=P5,4,IF(F8=P6,4,IF(F8=P7,5)))))</f>
        <v>2</v>
      </c>
      <c r="G10" s="133"/>
      <c r="I10" s="95" t="s">
        <v>63</v>
      </c>
      <c r="J10" s="58" t="s">
        <v>138</v>
      </c>
      <c r="K10" s="85">
        <f>F7-2</f>
        <v>1998</v>
      </c>
      <c r="L10" s="60">
        <v>1</v>
      </c>
      <c r="M10" s="22"/>
      <c r="R10" s="22"/>
    </row>
    <row r="11" spans="2:18" s="23" customFormat="1" ht="20.100000000000001" customHeight="1" x14ac:dyDescent="0.35">
      <c r="B11" s="154" t="s">
        <v>83</v>
      </c>
      <c r="C11" s="155"/>
      <c r="D11" s="155"/>
      <c r="E11" s="155"/>
      <c r="F11" s="132">
        <f>IF(F8=P3,1,IF(F8=P4,2,IF(F8=P5,3,IF(F8=P6,2,IF(F8=P7,4)))))</f>
        <v>1</v>
      </c>
      <c r="G11" s="133"/>
      <c r="I11" s="95" t="str">
        <f>IF(F15=P37,Q3,Q4)</f>
        <v>Double Bottom Track</v>
      </c>
      <c r="J11" s="58" t="str">
        <f>IF(F15=P37,R3,R4)</f>
        <v>AS0504.VP540</v>
      </c>
      <c r="K11" s="85">
        <f>F7-2</f>
        <v>1998</v>
      </c>
      <c r="L11" s="60">
        <f>IF(F15=P37,1,2)</f>
        <v>1</v>
      </c>
      <c r="M11" s="22"/>
      <c r="P11" s="16" t="s">
        <v>87</v>
      </c>
    </row>
    <row r="12" spans="2:18" s="23" customFormat="1" ht="20.100000000000001" customHeight="1" x14ac:dyDescent="0.35">
      <c r="B12" s="158" t="s">
        <v>102</v>
      </c>
      <c r="C12" s="159"/>
      <c r="D12" s="159"/>
      <c r="E12" s="159"/>
      <c r="F12" s="156" t="s">
        <v>93</v>
      </c>
      <c r="G12" s="157"/>
      <c r="I12" s="101" t="str">
        <f>IF(F9=P55,P69,IF(F9=P56,P70,IF(F9=P57,P71,IF(F9=P58,P72,IF(F9=P59,P73,IF(F9=P60,P74,IF(F9=P61,P75,P76)))))))</f>
        <v>Stile C</v>
      </c>
      <c r="J12" s="32" t="str">
        <f>IF(F9=P55,Q69,IF(F9=P56,Q70,IF(F9=P57,Q71,IF(F9=P58,Q72,IF(F9=P59,Q73,IF(F9=P60,Q74,IF(F9=P61,Q75,Q76)))))))</f>
        <v>AS0010.BP540</v>
      </c>
      <c r="K12" s="86">
        <f>$L$6</f>
        <v>2655</v>
      </c>
      <c r="L12" s="2">
        <f>IF(K12&gt;0,$F$10*2,0)</f>
        <v>4</v>
      </c>
      <c r="M12" s="22">
        <v>0.51200000000000001</v>
      </c>
      <c r="N12" s="69">
        <f>IF(I12=P69,M12*K12*L12/1000,0)</f>
        <v>5.4374400000000005</v>
      </c>
      <c r="P12" s="16" t="s">
        <v>88</v>
      </c>
    </row>
    <row r="13" spans="2:18" s="23" customFormat="1" ht="20.100000000000001" customHeight="1" x14ac:dyDescent="0.35">
      <c r="B13" s="152" t="s">
        <v>114</v>
      </c>
      <c r="C13" s="153"/>
      <c r="D13" s="153"/>
      <c r="E13" s="153"/>
      <c r="F13" s="134">
        <v>4</v>
      </c>
      <c r="G13" s="135"/>
      <c r="I13" s="100" t="s">
        <v>65</v>
      </c>
      <c r="J13" s="32" t="s">
        <v>139</v>
      </c>
      <c r="K13" s="86">
        <f>IF(OR(F9=P55,F9=P58,F9=P59,F9=P60),L7-51,IF(F9=P56,L7-68,IF(F9=P61,L7-39,L7-76)))</f>
        <v>962</v>
      </c>
      <c r="L13" s="2">
        <f>F10</f>
        <v>2</v>
      </c>
      <c r="M13" s="22">
        <v>0.495</v>
      </c>
      <c r="N13" s="69">
        <f>IF(I12=P70,M13*K12*L12/1000,0)</f>
        <v>0</v>
      </c>
      <c r="P13" s="16" t="s">
        <v>89</v>
      </c>
    </row>
    <row r="14" spans="2:18" s="23" customFormat="1" ht="20.100000000000001" customHeight="1" x14ac:dyDescent="0.35">
      <c r="B14" s="160" t="s">
        <v>84</v>
      </c>
      <c r="C14" s="161"/>
      <c r="D14" s="161"/>
      <c r="E14" s="161"/>
      <c r="F14" s="134">
        <v>2</v>
      </c>
      <c r="G14" s="135"/>
      <c r="I14" s="100" t="s">
        <v>66</v>
      </c>
      <c r="J14" s="32" t="s">
        <v>140</v>
      </c>
      <c r="K14" s="86">
        <f>K13</f>
        <v>962</v>
      </c>
      <c r="L14" s="2">
        <f>F10</f>
        <v>2</v>
      </c>
      <c r="M14" s="22">
        <v>0.69</v>
      </c>
      <c r="N14" s="69">
        <f>IF(I12=P71,M14*K12*L12/1000,0)</f>
        <v>0</v>
      </c>
    </row>
    <row r="15" spans="2:18" s="23" customFormat="1" ht="20.100000000000001" customHeight="1" x14ac:dyDescent="0.35">
      <c r="B15" s="163" t="s">
        <v>135</v>
      </c>
      <c r="C15" s="164"/>
      <c r="D15" s="164"/>
      <c r="E15" s="164"/>
      <c r="F15" s="156" t="s">
        <v>98</v>
      </c>
      <c r="G15" s="157"/>
      <c r="I15" s="100" t="s">
        <v>67</v>
      </c>
      <c r="J15" s="32" t="s">
        <v>141</v>
      </c>
      <c r="K15" s="86">
        <f>K13</f>
        <v>962</v>
      </c>
      <c r="L15" s="2">
        <f>IF(F12=P63,F10*F14,0)</f>
        <v>4</v>
      </c>
      <c r="M15" s="22">
        <v>0.53400000000000003</v>
      </c>
      <c r="N15" s="69">
        <f>IF(I12=P72,M15*K12*L12/1000,0)</f>
        <v>0</v>
      </c>
    </row>
    <row r="16" spans="2:18" s="23" customFormat="1" ht="20.100000000000001" customHeight="1" x14ac:dyDescent="0.3">
      <c r="B16" s="158" t="s">
        <v>117</v>
      </c>
      <c r="C16" s="159"/>
      <c r="D16" s="159"/>
      <c r="E16" s="159"/>
      <c r="F16" s="156" t="s">
        <v>98</v>
      </c>
      <c r="G16" s="157"/>
      <c r="I16" s="100" t="s">
        <v>68</v>
      </c>
      <c r="J16" s="32" t="s">
        <v>142</v>
      </c>
      <c r="K16" s="86">
        <f>K13</f>
        <v>962</v>
      </c>
      <c r="L16" s="2">
        <f>IF(F12=P64,F10*F14,0)</f>
        <v>0</v>
      </c>
      <c r="M16" s="23">
        <v>0.36299999999999999</v>
      </c>
      <c r="N16" s="69">
        <f>IF(I12=P73,M16*K12*L12/1000,0)</f>
        <v>0</v>
      </c>
    </row>
    <row r="17" spans="2:16" s="23" customFormat="1" ht="20.100000000000001" customHeight="1" thickBot="1" x14ac:dyDescent="0.35">
      <c r="B17" s="158" t="s">
        <v>85</v>
      </c>
      <c r="C17" s="159"/>
      <c r="D17" s="159"/>
      <c r="E17" s="159"/>
      <c r="F17" s="156" t="s">
        <v>129</v>
      </c>
      <c r="G17" s="157"/>
      <c r="I17" s="33" t="s">
        <v>113</v>
      </c>
      <c r="J17" s="61" t="s">
        <v>143</v>
      </c>
      <c r="K17" s="87">
        <f>K13-2</f>
        <v>960</v>
      </c>
      <c r="L17" s="3">
        <f>IF(F13&gt;0,F10,0)</f>
        <v>2</v>
      </c>
      <c r="M17" s="23">
        <v>0.36199999999999999</v>
      </c>
      <c r="N17" s="69">
        <f>IF(I12=P74,M17*K12*L12/1000,0)</f>
        <v>0</v>
      </c>
      <c r="P17" s="96" t="s">
        <v>90</v>
      </c>
    </row>
    <row r="18" spans="2:16" s="23" customFormat="1" ht="20.100000000000001" customHeight="1" thickBot="1" x14ac:dyDescent="0.35">
      <c r="B18" s="167" t="s">
        <v>86</v>
      </c>
      <c r="C18" s="168"/>
      <c r="D18" s="168"/>
      <c r="E18" s="168"/>
      <c r="F18" s="165" t="s">
        <v>96</v>
      </c>
      <c r="G18" s="166"/>
      <c r="M18" s="23">
        <v>0.46</v>
      </c>
      <c r="N18" s="69">
        <f>IF(I12=P76,M18*K12*L12/1000,0)</f>
        <v>0</v>
      </c>
      <c r="P18" s="96" t="s">
        <v>91</v>
      </c>
    </row>
    <row r="19" spans="2:16" s="23" customFormat="1" ht="20.100000000000001" customHeight="1" x14ac:dyDescent="0.3">
      <c r="B19" s="158" t="s">
        <v>128</v>
      </c>
      <c r="C19" s="159"/>
      <c r="D19" s="159"/>
      <c r="E19" s="159"/>
      <c r="F19" s="156" t="s">
        <v>98</v>
      </c>
      <c r="G19" s="157"/>
      <c r="I19" s="79" t="s">
        <v>51</v>
      </c>
      <c r="J19" s="108" t="s">
        <v>48</v>
      </c>
      <c r="K19" s="140" t="s">
        <v>50</v>
      </c>
      <c r="L19" s="141"/>
      <c r="M19" s="23">
        <v>0.24099999999999999</v>
      </c>
      <c r="N19" s="23">
        <f>M19*K13*L13/1000</f>
        <v>0.46368399999999999</v>
      </c>
    </row>
    <row r="20" spans="2:16" s="23" customFormat="1" ht="20.100000000000001" customHeight="1" x14ac:dyDescent="0.3">
      <c r="B20" s="158" t="s">
        <v>123</v>
      </c>
      <c r="C20" s="159"/>
      <c r="D20" s="159"/>
      <c r="E20" s="159"/>
      <c r="F20" s="156" t="s">
        <v>98</v>
      </c>
      <c r="G20" s="157"/>
      <c r="I20" s="101" t="s">
        <v>69</v>
      </c>
      <c r="J20" s="36" t="s">
        <v>150</v>
      </c>
      <c r="K20" s="136">
        <f>IF(OR(F9=P55,F9=P58,F9=P59,F9=P60,F9=P55),F10,0)</f>
        <v>2</v>
      </c>
      <c r="L20" s="137"/>
      <c r="M20" s="23">
        <v>0.49300000000000005</v>
      </c>
      <c r="N20" s="23">
        <f>M20*K14*L14/1000</f>
        <v>0.94853200000000004</v>
      </c>
    </row>
    <row r="21" spans="2:16" s="23" customFormat="1" ht="20.100000000000001" customHeight="1" x14ac:dyDescent="0.35">
      <c r="B21" s="158" t="s">
        <v>127</v>
      </c>
      <c r="C21" s="159"/>
      <c r="D21" s="159"/>
      <c r="E21" s="159"/>
      <c r="F21" s="156" t="s">
        <v>98</v>
      </c>
      <c r="G21" s="157"/>
      <c r="I21" s="101" t="s">
        <v>69</v>
      </c>
      <c r="J21" s="36" t="s">
        <v>151</v>
      </c>
      <c r="K21" s="136">
        <f>IF(OR(F9=P56,F9=P57,F9=P61),F10,0)</f>
        <v>0</v>
      </c>
      <c r="L21" s="137"/>
      <c r="M21" s="23">
        <v>0.33600000000000002</v>
      </c>
      <c r="N21" s="23">
        <f>M21*K15*L15/1000</f>
        <v>1.2929280000000001</v>
      </c>
      <c r="P21" s="97" t="s">
        <v>92</v>
      </c>
    </row>
    <row r="22" spans="2:16" s="23" customFormat="1" ht="20.100000000000001" customHeight="1" thickBot="1" x14ac:dyDescent="0.4">
      <c r="B22" s="124" t="s">
        <v>124</v>
      </c>
      <c r="C22" s="125"/>
      <c r="D22" s="125"/>
      <c r="E22" s="125"/>
      <c r="F22" s="122" t="s">
        <v>98</v>
      </c>
      <c r="G22" s="123"/>
      <c r="I22" s="101" t="s">
        <v>70</v>
      </c>
      <c r="J22" s="20" t="s">
        <v>152</v>
      </c>
      <c r="K22" s="142">
        <f>ROUNDUP((IF(C32=P12,(E32+F32)*2*G32,0)
+IF(C33=P12,(E33+F33)*2*G33,0)
+IF(C34=P12,(E34+F34)*2*G34,0)
+IF(C35=P12,(E35+F35)*2*G35,0)
+IF(C36=P12,(E36+F36)*2*G36,0))/1000,0)</f>
        <v>0</v>
      </c>
      <c r="L22" s="143"/>
      <c r="M22" s="23">
        <v>0.17199999999999999</v>
      </c>
      <c r="N22" s="23">
        <f>M22*K16*L16/1000</f>
        <v>0</v>
      </c>
      <c r="P22" s="22" t="s">
        <v>0</v>
      </c>
    </row>
    <row r="23" spans="2:16" s="23" customFormat="1" ht="20.100000000000001" customHeight="1" thickBot="1" x14ac:dyDescent="0.35">
      <c r="I23" s="101" t="s">
        <v>71</v>
      </c>
      <c r="J23" s="20" t="s">
        <v>153</v>
      </c>
      <c r="K23" s="142">
        <f>ROUNDUP((IF(C32=P13,(E32+F32)*2*G32,0)
+IF(C33=P13,(E33+F33)*2*G33,0)
+IF(C34=P13,(E34+F34)*2*G34,0)
+IF(C35=P13,(E35+F35)*2*G35,0)
+IF(C36=P13,(E36+F36)*2*G36,0))/1000,0)</f>
        <v>22</v>
      </c>
      <c r="L23" s="143"/>
      <c r="M23" s="23">
        <v>0.11199999999999999</v>
      </c>
      <c r="N23" s="23">
        <f>M23*K17*L17/1000</f>
        <v>0.21503999999999995</v>
      </c>
    </row>
    <row r="24" spans="2:16" s="23" customFormat="1" ht="20.100000000000001" customHeight="1" thickBot="1" x14ac:dyDescent="0.35">
      <c r="B24" s="23" t="s">
        <v>131</v>
      </c>
      <c r="I24" s="101" t="s">
        <v>115</v>
      </c>
      <c r="J24" s="36" t="s">
        <v>154</v>
      </c>
      <c r="K24" s="136">
        <f>IF(N38&lt;30,ROUNDUP(F13/2,0),0)</f>
        <v>0</v>
      </c>
      <c r="L24" s="137"/>
      <c r="N24" s="35">
        <f>SUM(N12:N23)/F10</f>
        <v>4.1788120000000006</v>
      </c>
    </row>
    <row r="25" spans="2:16" s="23" customFormat="1" ht="20.100000000000001" customHeight="1" x14ac:dyDescent="0.3">
      <c r="I25" s="101" t="s">
        <v>115</v>
      </c>
      <c r="J25" s="36" t="s">
        <v>155</v>
      </c>
      <c r="K25" s="136">
        <f>IF(AND(N38&gt;=30,N38&lt;50),ROUNDUP(F13/2,0),0)</f>
        <v>2</v>
      </c>
      <c r="L25" s="137"/>
      <c r="P25" s="98">
        <v>0</v>
      </c>
    </row>
    <row r="26" spans="2:16" s="23" customFormat="1" ht="20.100000000000001" customHeight="1" x14ac:dyDescent="0.3">
      <c r="B26" s="23" t="s">
        <v>61</v>
      </c>
      <c r="I26" s="101" t="s">
        <v>115</v>
      </c>
      <c r="J26" s="36" t="s">
        <v>156</v>
      </c>
      <c r="K26" s="136">
        <f>IF(AND(N38&gt;=50,N38&lt;70),ROUNDUP(F13/2,0),0)</f>
        <v>0</v>
      </c>
      <c r="L26" s="137"/>
      <c r="P26" s="99">
        <v>1</v>
      </c>
    </row>
    <row r="27" spans="2:16" s="23" customFormat="1" ht="20.100000000000001" customHeight="1" thickBot="1" x14ac:dyDescent="0.35">
      <c r="I27" s="101" t="s">
        <v>116</v>
      </c>
      <c r="J27" s="36" t="s">
        <v>157</v>
      </c>
      <c r="K27" s="113">
        <f>IF(F17=P42,F10*2-F13,0)</f>
        <v>0</v>
      </c>
      <c r="L27" s="144"/>
      <c r="P27" s="98">
        <v>2</v>
      </c>
    </row>
    <row r="28" spans="2:16" s="23" customFormat="1" ht="20.100000000000001" customHeight="1" thickBot="1" x14ac:dyDescent="0.4">
      <c r="B28" s="38" t="s">
        <v>59</v>
      </c>
      <c r="C28" s="39">
        <f>F14+1</f>
        <v>3</v>
      </c>
      <c r="D28" s="52"/>
      <c r="F28" s="37"/>
      <c r="G28" s="37"/>
      <c r="I28" s="101" t="s">
        <v>74</v>
      </c>
      <c r="J28" s="36" t="s">
        <v>158</v>
      </c>
      <c r="K28" s="113">
        <f>IF(F17=P43,F10*2-F13,0)</f>
        <v>0</v>
      </c>
      <c r="L28" s="144"/>
      <c r="P28" s="98">
        <v>3</v>
      </c>
    </row>
    <row r="29" spans="2:16" s="23" customFormat="1" ht="20.100000000000001" customHeight="1" x14ac:dyDescent="0.35">
      <c r="I29" s="44" t="s">
        <v>75</v>
      </c>
      <c r="J29" s="45" t="s">
        <v>159</v>
      </c>
      <c r="K29" s="145">
        <f>IF(F18=P46,L13*2+L14*2+L15*2+L16*2,0)</f>
        <v>16</v>
      </c>
      <c r="L29" s="146"/>
      <c r="P29" s="98">
        <v>4</v>
      </c>
    </row>
    <row r="30" spans="2:16" ht="20.100000000000001" customHeight="1" thickBot="1" x14ac:dyDescent="0.4">
      <c r="B30" s="23"/>
      <c r="C30" s="23"/>
      <c r="D30" s="23"/>
      <c r="E30" s="23"/>
      <c r="F30" s="23"/>
      <c r="G30" s="23"/>
      <c r="H30" s="23"/>
      <c r="I30" s="46" t="s">
        <v>76</v>
      </c>
      <c r="J30" s="17" t="s">
        <v>160</v>
      </c>
      <c r="K30" s="115">
        <f>IF(F18=P47,ROUNDUP(L12*L6/1000,0),0)</f>
        <v>0</v>
      </c>
      <c r="L30" s="147"/>
      <c r="M30" s="55"/>
    </row>
    <row r="31" spans="2:16" ht="20.100000000000001" customHeight="1" x14ac:dyDescent="0.35">
      <c r="B31" s="91" t="s">
        <v>52</v>
      </c>
      <c r="C31" s="92" t="s">
        <v>53</v>
      </c>
      <c r="D31" s="102"/>
      <c r="E31" s="92" t="s">
        <v>45</v>
      </c>
      <c r="F31" s="92" t="s">
        <v>46</v>
      </c>
      <c r="G31" s="40" t="s">
        <v>50</v>
      </c>
      <c r="H31" s="43">
        <f>IF(E32&lt;&gt;0,1,0)</f>
        <v>1</v>
      </c>
      <c r="I31" s="101" t="s">
        <v>77</v>
      </c>
      <c r="J31" s="111" t="s">
        <v>161</v>
      </c>
      <c r="K31" s="113">
        <f>IF(K30&gt;0,L12*2,0)</f>
        <v>0</v>
      </c>
      <c r="L31" s="144"/>
      <c r="N31" s="23">
        <f>IF(C32=$P$11,((E32*F32*G32/$F$10)/1000000)*8,IF(C32=$P$12,((E32*F32*G32/$F$10)/1000000)*6.5,((E32*F32*G32/$F$10)/1000000)*11))</f>
        <v>6.0105539999999991</v>
      </c>
    </row>
    <row r="32" spans="2:16" ht="21" customHeight="1" x14ac:dyDescent="0.35">
      <c r="B32" s="93" t="s">
        <v>54</v>
      </c>
      <c r="C32" s="14" t="s">
        <v>89</v>
      </c>
      <c r="D32" s="104">
        <f>E32/$N$42</f>
        <v>0.21820303383897316</v>
      </c>
      <c r="E32" s="80">
        <f>ROUNDDOWN(L6-IF(E36=0,0,IF(C36=P11,E36,IF(C36=P12,E36+2,E36+3)))-
IF(E35=0,0,IF(C35=P11,E35,IF(C35=P12,E35+2,E35+3)))-
IF(E34=0,0,IF(C34=P11,E34,IF(C34=P12,E34+2,E34+3)))-
IF(E33=0,0,IF(C33=P11,E33,IF(C33=P12,E33+2,E33+3)))-11-46-
IF(C32=P12,2,IF(C32=P13,3,0))-F14*IF(F12=P63,9,1.4),0)</f>
        <v>561</v>
      </c>
      <c r="F32" s="106">
        <f>IF(AND(C32=P11,OR(F9=P55,F9=P58,F9=P59,F9=P60)),L7-36,IF(AND(C32=P11,F9=P56),L7-54,IF(AND(C32=P11,F9=P57),L7-60,IF(AND(C32=P11,F9=P62),L7-44,IF(AND(C32=P11,F9=P61),L7-24,
IF(AND(C32=P12,OR(F9=P55,F9=P58,F9=P59,F9=P60)),L7-36-2,IF(AND(C32=P12,F9=P56),L7-54-2,IF(AND(C32=P12,F9=P57),L7-60-2,IF(AND(C32=P12,F9=P62),L7-44-2,IF(AND(C32=P12,F9=P61),L7-24-2,
IF(AND(C32=P13,OR(F9=P55,F9=P58,F9=P59,F9=P60)),L7-36-3,IF(AND(C32=P13,F9=P56),L7-54-3,IF(AND(C32=P13,F9=P57),L7-60-3,IF(AND(C32=P13,F9=P62),L7-44-3,IF(AND(C32=P13,F9=P61),L7-24-3,0)))))))))))))))</f>
        <v>974</v>
      </c>
      <c r="G32" s="83">
        <f>$F$10</f>
        <v>2</v>
      </c>
      <c r="H32" s="43">
        <f>IF(E33&lt;&gt;0,1,0)</f>
        <v>0</v>
      </c>
      <c r="I32" s="101" t="s">
        <v>108</v>
      </c>
      <c r="J32" s="45" t="s">
        <v>162</v>
      </c>
      <c r="K32" s="148">
        <f>IF(F18=P48,ROUNDUP(L12*L6/1000,0),0)</f>
        <v>0</v>
      </c>
      <c r="L32" s="149"/>
      <c r="N32" s="23">
        <f>IF(C33=$P$11,((E33*F33*G33/$F$10)/1000000)*8,IF(C33=$P$12,((E33*F33*G33/$F$10)/1000000)*6.5,((E33*F33*G33/$F$10)/1000000)*11))</f>
        <v>0</v>
      </c>
    </row>
    <row r="33" spans="2:16" ht="20.100000000000001" customHeight="1" x14ac:dyDescent="0.35">
      <c r="B33" s="93" t="s">
        <v>55</v>
      </c>
      <c r="C33" s="14" t="s">
        <v>89</v>
      </c>
      <c r="D33" s="104">
        <f t="shared" ref="D33:D36" si="0">E33/$N$42</f>
        <v>0</v>
      </c>
      <c r="E33" s="81">
        <v>0</v>
      </c>
      <c r="F33" s="106">
        <f>IF(AND(C33=P11,OR(F9=P55,F9=P58,F9=P59,F9=P60)),L7-36,IF(AND(C33=P11,F9=P56),L7-54,IF(AND(C33=P11,F9=P57),L7-60,IF(AND(C33=P11,F9=P62),L7-44,IF(AND(C33=P11,F9=P61),L7-24,
IF(AND(C33=P12,OR(F9=P55,F9=P58,F9=P59,F9=P60)),L7-36-2,IF(AND(C33=P12,F9=P56),L7-54-2,IF(AND(C33=P12,F9=P57),L7-60-2,IF(AND(C33=P12,F9=P62),L7-44-2,IF(AND(C33=P12,F9=P61),L7-24-2,
IF(AND(C33=P13,OR(F9=P55,F9=P58,F9=P59,F9=P60)),L7-36-3,IF(AND(C33=P13,F9=P56),L7-54-3,IF(AND(C33=P13,F9=P57),L7-60-3,IF(AND(C33=P13,F9=P62),L7-44-3,IF(AND(C33=P13,F9=P61),L7-24-3,0)))))))))))))))</f>
        <v>974</v>
      </c>
      <c r="G33" s="83">
        <f>IF(E33&lt;&gt;0,$F$10,0)</f>
        <v>0</v>
      </c>
      <c r="H33" s="43">
        <f>IF(E34&lt;&gt;0,1,0)</f>
        <v>0</v>
      </c>
      <c r="I33" s="101" t="s">
        <v>117</v>
      </c>
      <c r="J33" s="36" t="s">
        <v>163</v>
      </c>
      <c r="K33" s="115">
        <f>IF(F16=P36,ROUNDUP((K11+40)*2/1000,0),0)</f>
        <v>0</v>
      </c>
      <c r="L33" s="116"/>
      <c r="N33" s="23">
        <f>IF(C34=$P$11,((E34*F34*G34/$F$10)/1000000)*8,IF(C34=$P$12,((E34*F34*G34/$F$10)/1000000)*6.5,((E34*F34*G34/$F$10)/1000000)*11))</f>
        <v>0</v>
      </c>
      <c r="P33" s="16" t="s">
        <v>87</v>
      </c>
    </row>
    <row r="34" spans="2:16" ht="20.100000000000001" customHeight="1" x14ac:dyDescent="0.35">
      <c r="B34" s="93" t="s">
        <v>56</v>
      </c>
      <c r="C34" s="14" t="s">
        <v>89</v>
      </c>
      <c r="D34" s="104">
        <f t="shared" si="0"/>
        <v>0</v>
      </c>
      <c r="E34" s="81">
        <v>0</v>
      </c>
      <c r="F34" s="106">
        <f>IF(AND(C34=P11,OR(F9=P55,F9=P58,F9=P59,F9=P60)),L7-36,IF(AND(C34=P11,F9=P56),L7-54,IF(AND(C34=P11,F9=P57),L7-60,IF(AND(C34=P11,F9=P62),L7-44,IF(AND(C34=P11,F9=P61),L7-24,
IF(AND(C34=P12,OR(F9=P55,F9=P58,F9=P59,F9=P60)),L7-36-2,IF(AND(C34=P12,F9=P56),L7-54-2,IF(AND(C34=P12,F9=P57),L7-60-2,IF(AND(C34=P12,F9=P62),L7-44-2,IF(AND(C34=P12,F9=P61),L7-24-2,
IF(AND(C34=P13,OR(F9=P55,F9=P58,F9=P59,F9=P60)),L7-36-3,IF(AND(C34=P13,F9=P56),L7-54-3,IF(AND(C34=P13,F9=P57),L7-60-3,IF(AND(C34=P13,F9=P62),L7-44-3,IF(AND(C34=P13,F9=P61),L7-24-3,0)))))))))))))))</f>
        <v>974</v>
      </c>
      <c r="G34" s="83">
        <f>IF(E34&lt;&gt;0,$F$10,0)</f>
        <v>0</v>
      </c>
      <c r="H34" s="43">
        <f>IF(E35&lt;&gt;0,1,0)</f>
        <v>1</v>
      </c>
      <c r="I34" s="101" t="s">
        <v>78</v>
      </c>
      <c r="J34" s="36" t="s">
        <v>164</v>
      </c>
      <c r="K34" s="113">
        <f>L15*2</f>
        <v>8</v>
      </c>
      <c r="L34" s="114"/>
      <c r="N34" s="23">
        <f>IF(C35=$P$11,((E35*F35*G35/$F$10)/1000000)*8,IF(C35=$P$12,((E35*F35*G35/$F$10)/1000000)*6.5,((E35*F35*G35/$F$10)/1000000)*11))</f>
        <v>10.767570000000001</v>
      </c>
      <c r="P34" s="16" t="s">
        <v>89</v>
      </c>
    </row>
    <row r="35" spans="2:16" ht="20.100000000000001" customHeight="1" thickBot="1" x14ac:dyDescent="0.4">
      <c r="B35" s="93" t="s">
        <v>57</v>
      </c>
      <c r="C35" s="14" t="s">
        <v>89</v>
      </c>
      <c r="D35" s="104">
        <f t="shared" si="0"/>
        <v>0.39089848308051339</v>
      </c>
      <c r="E35" s="81">
        <v>1005</v>
      </c>
      <c r="F35" s="106">
        <f>IF(AND(C35=P11,OR(F9=P55,F9=P58,F9=P59,F9=P60)),L7-36,IF(AND(C35=P11,F9=P56),L7-54,IF(AND(C35=P11,F9=P57),L7-60,IF(AND(C35=P11,F9=P62),L7-44,IF(AND(C35=P11,F9=P61),L7-24,
IF(AND(C35=P12,OR(F9=P55,F9=P58,F9=P59,F9=P60)),L7-36-2,IF(AND(C35=P12,F9=P56),L7-54-2,IF(AND(C35=P12,F9=P57),L7-60-2,IF(AND(C35=P12,F9=P62),L7-44-2,IF(AND(C35=P12,F9=P61),L7-24-2,
IF(AND(C35=P13,OR(F9=P55,F9=P58,F9=P59,F9=P60)),L7-36-3,IF(AND(C35=P13,F9=P56),L7-54-3,IF(AND(C35=P13,F9=P57),L7-60-3,IF(AND(C35=P13,F9=P62),L7-44-3,IF(AND(C35=P13,F9=P61),L7-24-3,0)))))))))))))))</f>
        <v>974</v>
      </c>
      <c r="G35" s="83">
        <f>IF(E35&lt;&gt;0,$F$10,0)</f>
        <v>2</v>
      </c>
      <c r="H35" s="43">
        <f>IF(E36&lt;&gt;0,1,0)</f>
        <v>1</v>
      </c>
      <c r="I35" s="101" t="s">
        <v>123</v>
      </c>
      <c r="J35" s="36" t="s">
        <v>165</v>
      </c>
      <c r="K35" s="113">
        <f>IF(AND(F20=P36,F9=P57),F11,0)</f>
        <v>0</v>
      </c>
      <c r="L35" s="114"/>
      <c r="N35" s="23">
        <f>IF(C36=$P$11,((E36*F36*G36/$F$10)/1000000)*8,IF(C36=$P$12,((E36*F36*G36/$F$10)/1000000)*6.5,((E36*F36*G36/$F$10)/1000000)*11))</f>
        <v>10.767570000000001</v>
      </c>
    </row>
    <row r="36" spans="2:16" ht="20.100000000000001" customHeight="1" thickBot="1" x14ac:dyDescent="0.4">
      <c r="B36" s="94" t="s">
        <v>58</v>
      </c>
      <c r="C36" s="15" t="s">
        <v>89</v>
      </c>
      <c r="D36" s="105">
        <f t="shared" si="0"/>
        <v>0.39089848308051339</v>
      </c>
      <c r="E36" s="82">
        <v>1005</v>
      </c>
      <c r="F36" s="107">
        <f>IF(AND(C36=P11,OR(F9=P55,F9=P58,F9=P59,F9=P60)),L7-36,IF(AND(C36=P11,F9=P56),L7-54,IF(AND(C36=P11,F9=P57),L7-60,IF(AND(C36=P11,F9=P62),L7-44,IF(AND(C36=P11,F9=P61),L7-24,
IF(AND(C36=P12,OR(F9=P55,F9=P58,F9=P59,F9=P60)),L7-36-2,IF(AND(C36=P12,F9=P56),L7-54-2,IF(AND(C36=P12,F9=P57),L7-60-2,IF(AND(C36=P12,F9=P62),L7-44-2,IF(AND(C36=P12,F9=P61),L7-24-2,
IF(AND(C36=P13,OR(F9=P55,F9=P58,F9=P59,F9=P60)),L7-36-3,IF(AND(C36=P13,F9=P56),L7-54-3,IF(AND(C36=P13,F9=P57),L7-60-3,IF(AND(C36=P13,F9=P62),L7-44-3,IF(AND(C36=P13,F9=P61),L7-24-3,0)))))))))))))))</f>
        <v>974</v>
      </c>
      <c r="G36" s="84">
        <f>IF(E36&lt;&gt;0,$F$10,0)</f>
        <v>2</v>
      </c>
      <c r="H36" s="23"/>
      <c r="I36" s="101" t="s">
        <v>125</v>
      </c>
      <c r="J36" s="36" t="s">
        <v>166</v>
      </c>
      <c r="K36" s="113">
        <f>IF(AND(F21=P36,OR(F9=P55,F9=P58,F9=P59,F9=P60)),F11,0)</f>
        <v>0</v>
      </c>
      <c r="L36" s="114"/>
      <c r="N36" s="35">
        <f>SUM(N31:N35)</f>
        <v>27.545693999999997</v>
      </c>
      <c r="P36" s="22" t="s">
        <v>97</v>
      </c>
    </row>
    <row r="37" spans="2:16" ht="18.600000000000001" thickBot="1" x14ac:dyDescent="0.4">
      <c r="B37" s="23"/>
      <c r="C37" s="23"/>
      <c r="D37" s="23"/>
      <c r="E37" s="23"/>
      <c r="F37" s="23"/>
      <c r="G37" s="23"/>
      <c r="H37" s="23"/>
      <c r="I37" s="33" t="s">
        <v>124</v>
      </c>
      <c r="J37" s="48" t="s">
        <v>167</v>
      </c>
      <c r="K37" s="138">
        <f>IF(F22=P36,F11,0)</f>
        <v>0</v>
      </c>
      <c r="L37" s="139"/>
      <c r="N37" s="23"/>
      <c r="P37" s="23" t="s">
        <v>98</v>
      </c>
    </row>
    <row r="38" spans="2:16" ht="18.600000000000001" thickBot="1" x14ac:dyDescent="0.4">
      <c r="B38" s="23"/>
      <c r="C38" s="20" t="str">
        <f>IF((SUM(H31:H35)/C28)&lt;&gt;1,P17,P18)</f>
        <v>Correct insert heights</v>
      </c>
      <c r="D38" s="64">
        <f>IF(C38=P18,1,0)</f>
        <v>1</v>
      </c>
      <c r="F38" s="23"/>
      <c r="G38" s="23"/>
      <c r="H38" s="23"/>
      <c r="I38" s="56"/>
      <c r="M38" s="41" t="s">
        <v>11</v>
      </c>
      <c r="N38" s="42">
        <f>(N36+N24)*1.05</f>
        <v>33.3107313</v>
      </c>
    </row>
    <row r="39" spans="2:16" ht="18.600000000000001" thickBot="1" x14ac:dyDescent="0.4">
      <c r="B39" s="23"/>
      <c r="C39" s="23"/>
      <c r="D39" s="23"/>
      <c r="E39" s="47"/>
      <c r="F39" s="49" t="s">
        <v>60</v>
      </c>
      <c r="G39" s="90">
        <f>ROUNDUP(N38,0)</f>
        <v>34</v>
      </c>
      <c r="H39" s="23"/>
      <c r="I39" s="97" t="s">
        <v>126</v>
      </c>
      <c r="L39" s="57" t="s">
        <v>62</v>
      </c>
    </row>
    <row r="40" spans="2:16" x14ac:dyDescent="0.35">
      <c r="B40" s="23"/>
      <c r="C40" s="162" t="str">
        <f>IF(AND(SUM(H31:H35)/C28=1,E36=0,C28&lt;&gt;1),P21,P22)</f>
        <v xml:space="preserve"> </v>
      </c>
      <c r="D40" s="162"/>
      <c r="E40" s="23"/>
      <c r="F40" s="23"/>
      <c r="G40" s="23"/>
      <c r="H40" s="23"/>
    </row>
    <row r="41" spans="2:16" x14ac:dyDescent="0.35">
      <c r="B41" s="23"/>
      <c r="C41" s="23"/>
      <c r="D41" s="23"/>
      <c r="E41" s="23"/>
      <c r="F41" s="23"/>
      <c r="G41" s="23"/>
      <c r="H41" s="23"/>
      <c r="P41" s="23" t="s">
        <v>98</v>
      </c>
    </row>
    <row r="42" spans="2:16" x14ac:dyDescent="0.35">
      <c r="B42" s="23"/>
      <c r="H42" s="23"/>
      <c r="N42" s="103">
        <f>SUM(E32:E36)</f>
        <v>2571</v>
      </c>
      <c r="P42" s="22" t="s">
        <v>129</v>
      </c>
    </row>
    <row r="43" spans="2:16" x14ac:dyDescent="0.35">
      <c r="B43" s="23"/>
      <c r="C43" s="23"/>
      <c r="D43" s="23"/>
      <c r="E43" s="23"/>
      <c r="F43" s="22"/>
      <c r="G43" s="22"/>
      <c r="H43" s="23"/>
      <c r="P43" s="22" t="s">
        <v>130</v>
      </c>
    </row>
    <row r="44" spans="2:16" x14ac:dyDescent="0.35">
      <c r="B44" s="23"/>
      <c r="F44" s="23"/>
      <c r="G44" s="23"/>
      <c r="H44" s="23"/>
    </row>
    <row r="45" spans="2:16" x14ac:dyDescent="0.35">
      <c r="H45" s="23"/>
    </row>
    <row r="46" spans="2:16" x14ac:dyDescent="0.35">
      <c r="H46" s="23"/>
      <c r="P46" s="18" t="s">
        <v>96</v>
      </c>
    </row>
    <row r="47" spans="2:16" x14ac:dyDescent="0.35">
      <c r="H47" s="23"/>
      <c r="P47" s="19" t="s">
        <v>76</v>
      </c>
    </row>
    <row r="48" spans="2:16" x14ac:dyDescent="0.35">
      <c r="H48" s="23"/>
      <c r="P48" s="18" t="s">
        <v>108</v>
      </c>
    </row>
    <row r="50" spans="16:17" x14ac:dyDescent="0.35">
      <c r="P50" s="22" t="s">
        <v>95</v>
      </c>
    </row>
    <row r="51" spans="16:17" x14ac:dyDescent="0.35">
      <c r="P51" s="22" t="s">
        <v>0</v>
      </c>
    </row>
    <row r="55" spans="16:17" x14ac:dyDescent="0.35">
      <c r="P55" s="22" t="s">
        <v>12</v>
      </c>
      <c r="Q55" s="22">
        <f>ROUNDUP(IF(AND(OR(F18=P48,F18=P47),F8=P6),(F7-20+F11*25)/F10,
IF(AND(OR(F18=P48,F18=P47),F8&lt;&gt;P6),(F7-10+F11*25)/F10,(F7+F11*25)/F10)),0)</f>
        <v>1013</v>
      </c>
    </row>
    <row r="56" spans="16:17" x14ac:dyDescent="0.35">
      <c r="P56" s="22" t="s">
        <v>13</v>
      </c>
      <c r="Q56" s="22">
        <f>ROUNDUP(IF(AND(OR(F18=P48,F18=P47),F8=P6),(F7-20+F11*35)/F10,
IF(AND(OR(F18=P48,F18=P47),F8&lt;&gt;P6),(F7-10+F11*35)/F10,(F7+F11*35)/F10)),0)</f>
        <v>1018</v>
      </c>
    </row>
    <row r="57" spans="16:17" x14ac:dyDescent="0.35">
      <c r="P57" s="22" t="s">
        <v>14</v>
      </c>
      <c r="Q57" s="22">
        <f>ROUNDUP(IF(AND(OR(F18=P48,F18=P47),F8=P6),(F7-20+F11*39)/F10,
IF(AND(OR(F18=P48,F18=P47),F8&lt;&gt;P6),(F7-10+F11*39)/F10,(F7+F11*39)/F10)),0)</f>
        <v>1020</v>
      </c>
    </row>
    <row r="58" spans="16:17" x14ac:dyDescent="0.35">
      <c r="P58" s="22" t="s">
        <v>15</v>
      </c>
      <c r="Q58" s="22">
        <f>ROUNDUP(IF(AND(OR(F18=P48,F18=P47),F8=P6),(F7-20+F11*45)/F10,
IF(AND(OR(F18=P48,F18=P47),F8&lt;&gt;P6),(F7-10+F11*45)/F10,(F7+F11*45)/F10)),0)</f>
        <v>1023</v>
      </c>
    </row>
    <row r="59" spans="16:17" x14ac:dyDescent="0.35">
      <c r="P59" s="22" t="s">
        <v>16</v>
      </c>
      <c r="Q59" s="22">
        <f>ROUNDUP(IF(AND(OR(F18=P48,F18=P47),F8=P6),(F7-20+F11*25)/F10,
IF(AND(OR(F18=P48,F18=P47),F8&lt;&gt;P6),(F7-10+F11*25)/F10,(F7+F11*25)/F10)),0)</f>
        <v>1013</v>
      </c>
    </row>
    <row r="60" spans="16:17" x14ac:dyDescent="0.35">
      <c r="P60" s="22" t="s">
        <v>17</v>
      </c>
      <c r="Q60" s="22">
        <f>ROUNDUP(IF(AND(OR(F18=P48,F18=P47),F8=P6),(F7-20+F11*25)/F10,
IF(AND(OR(F18=P48,F18=P47),F8&lt;&gt;P6),(F7-10+F11*25)/F10,(F7+F11*25)/F10)),0)</f>
        <v>1013</v>
      </c>
    </row>
    <row r="61" spans="16:17" x14ac:dyDescent="0.35">
      <c r="P61" s="22" t="s">
        <v>168</v>
      </c>
      <c r="Q61" s="22">
        <f>ROUNDUP(IF(AND(OR(F18=P48,F18=P47),F8=P6),(F7-20+F11*20)/F10,
IF(AND(OR(F18=P48,F18=P47),F8&lt;&gt;P6),(F7-10+F11*20)/F10,(F7+F11*20)/F10)),0)</f>
        <v>1010</v>
      </c>
    </row>
    <row r="62" spans="16:17" x14ac:dyDescent="0.35">
      <c r="P62" s="22" t="s">
        <v>133</v>
      </c>
      <c r="Q62" s="22">
        <f>ROUNDUP(IF(AND(OR(F18=P48,F18=P47),F8=P6),(F7-20+F11*35)/F10,
IF(AND(OR(F18=P48,F18=P47),F8&lt;&gt;P6),(F7-10+F11*35)/F10,(F7+F11*35)/F10)),0)</f>
        <v>1018</v>
      </c>
    </row>
    <row r="63" spans="16:17" x14ac:dyDescent="0.35">
      <c r="P63" s="22" t="s">
        <v>93</v>
      </c>
    </row>
    <row r="64" spans="16:17" x14ac:dyDescent="0.35">
      <c r="P64" s="22" t="s">
        <v>94</v>
      </c>
    </row>
    <row r="69" spans="16:17" x14ac:dyDescent="0.35">
      <c r="P69" s="22" t="s">
        <v>100</v>
      </c>
      <c r="Q69" s="22" t="s">
        <v>144</v>
      </c>
    </row>
    <row r="70" spans="16:17" x14ac:dyDescent="0.35">
      <c r="P70" s="22" t="s">
        <v>101</v>
      </c>
      <c r="Q70" s="22" t="s">
        <v>145</v>
      </c>
    </row>
    <row r="71" spans="16:17" x14ac:dyDescent="0.35">
      <c r="P71" s="22" t="s">
        <v>118</v>
      </c>
      <c r="Q71" s="22" t="s">
        <v>146</v>
      </c>
    </row>
    <row r="72" spans="16:17" x14ac:dyDescent="0.35">
      <c r="P72" s="22" t="s">
        <v>119</v>
      </c>
      <c r="Q72" s="22" t="s">
        <v>147</v>
      </c>
    </row>
    <row r="73" spans="16:17" x14ac:dyDescent="0.35">
      <c r="P73" s="22" t="s">
        <v>120</v>
      </c>
      <c r="Q73" s="22" t="s">
        <v>148</v>
      </c>
    </row>
    <row r="74" spans="16:17" x14ac:dyDescent="0.35">
      <c r="P74" s="22" t="s">
        <v>121</v>
      </c>
      <c r="Q74" s="22" t="s">
        <v>149</v>
      </c>
    </row>
    <row r="75" spans="16:17" x14ac:dyDescent="0.35">
      <c r="P75" s="22" t="s">
        <v>169</v>
      </c>
      <c r="Q75" s="22" t="s">
        <v>170</v>
      </c>
    </row>
    <row r="76" spans="16:17" x14ac:dyDescent="0.35">
      <c r="P76" s="22" t="s">
        <v>134</v>
      </c>
      <c r="Q76" s="22" t="s">
        <v>171</v>
      </c>
    </row>
  </sheetData>
  <sheetProtection algorithmName="SHA-512" hashValue="XTmJitr+RWDigA6l/oTHl4slhrKxKhg9t8jO+dli3Z/4oQDJacK2qCYqgkAVkkT0J5MOmiEuq2F8dGlQ7tTwaw==" saltValue="dEw2MQd/TmPVMTwRj7tVhg==" spinCount="100000" sheet="1" selectLockedCells="1"/>
  <mergeCells count="58">
    <mergeCell ref="B21:E21"/>
    <mergeCell ref="F21:G21"/>
    <mergeCell ref="B13:E13"/>
    <mergeCell ref="B14:E14"/>
    <mergeCell ref="C40:D40"/>
    <mergeCell ref="B15:E15"/>
    <mergeCell ref="F15:G15"/>
    <mergeCell ref="B16:E16"/>
    <mergeCell ref="B17:E17"/>
    <mergeCell ref="F19:G19"/>
    <mergeCell ref="B19:E19"/>
    <mergeCell ref="F16:G16"/>
    <mergeCell ref="F17:G17"/>
    <mergeCell ref="F18:G18"/>
    <mergeCell ref="B18:E18"/>
    <mergeCell ref="F9:G9"/>
    <mergeCell ref="B9:E9"/>
    <mergeCell ref="B12:E12"/>
    <mergeCell ref="B20:E20"/>
    <mergeCell ref="F20:G20"/>
    <mergeCell ref="F12:G12"/>
    <mergeCell ref="B6:E6"/>
    <mergeCell ref="B7:E7"/>
    <mergeCell ref="B8:E8"/>
    <mergeCell ref="B10:E10"/>
    <mergeCell ref="B11:E11"/>
    <mergeCell ref="K37:L37"/>
    <mergeCell ref="K19:L19"/>
    <mergeCell ref="K20:L20"/>
    <mergeCell ref="K22:L22"/>
    <mergeCell ref="K23:L23"/>
    <mergeCell ref="K24:L24"/>
    <mergeCell ref="K25:L25"/>
    <mergeCell ref="K26:L26"/>
    <mergeCell ref="K27:L27"/>
    <mergeCell ref="K29:L29"/>
    <mergeCell ref="K34:L34"/>
    <mergeCell ref="K28:L28"/>
    <mergeCell ref="K30:L30"/>
    <mergeCell ref="K35:L35"/>
    <mergeCell ref="K32:L32"/>
    <mergeCell ref="K31:L31"/>
    <mergeCell ref="B2:L2"/>
    <mergeCell ref="K36:L36"/>
    <mergeCell ref="K33:L33"/>
    <mergeCell ref="B4:F4"/>
    <mergeCell ref="I4:L4"/>
    <mergeCell ref="I6:J7"/>
    <mergeCell ref="F22:G22"/>
    <mergeCell ref="B22:E22"/>
    <mergeCell ref="F6:G6"/>
    <mergeCell ref="F7:G7"/>
    <mergeCell ref="F8:G8"/>
    <mergeCell ref="F10:G10"/>
    <mergeCell ref="F11:G11"/>
    <mergeCell ref="F13:G13"/>
    <mergeCell ref="F14:G14"/>
    <mergeCell ref="K21:L21"/>
  </mergeCells>
  <conditionalFormatting sqref="C38">
    <cfRule type="expression" dxfId="10" priority="28">
      <formula>$C$38=$P$17</formula>
    </cfRule>
    <cfRule type="expression" dxfId="9" priority="29">
      <formula>$C$38=$P$18</formula>
    </cfRule>
  </conditionalFormatting>
  <conditionalFormatting sqref="C40">
    <cfRule type="expression" dxfId="8" priority="30">
      <formula>$C$40=$P$21</formula>
    </cfRule>
  </conditionalFormatting>
  <conditionalFormatting sqref="F20:G20">
    <cfRule type="expression" dxfId="7" priority="9">
      <formula>AND($F$9&lt;&gt;$P$57,$F$20=$P$36)</formula>
    </cfRule>
  </conditionalFormatting>
  <conditionalFormatting sqref="F21:G21">
    <cfRule type="expression" dxfId="6" priority="8">
      <formula>AND(OR($F$9=$P$56,$F$9=$P$57),$F$21=$P$36)</formula>
    </cfRule>
  </conditionalFormatting>
  <dataValidations count="11">
    <dataValidation type="whole" allowBlank="1" showInputMessage="1" showErrorMessage="1" sqref="F11">
      <formula1>1</formula1>
      <formula2>4</formula2>
    </dataValidation>
    <dataValidation type="whole" allowBlank="1" showInputMessage="1" showErrorMessage="1" sqref="F10">
      <formula1>1</formula1>
      <formula2>5</formula2>
    </dataValidation>
    <dataValidation type="list" operator="greaterThan" allowBlank="1" showInputMessage="1" showErrorMessage="1" sqref="F14">
      <formula1>$P$25:$P$29</formula1>
    </dataValidation>
    <dataValidation type="list" allowBlank="1" showInputMessage="1" showErrorMessage="1" sqref="F8">
      <formula1>$P$3:$P$7</formula1>
    </dataValidation>
    <dataValidation type="list" allowBlank="1" showInputMessage="1" showErrorMessage="1" sqref="C32:C36">
      <formula1>$P$11:$P$13</formula1>
    </dataValidation>
    <dataValidation type="list" allowBlank="1" showInputMessage="1" showErrorMessage="1" sqref="F17">
      <formula1>$P$41:$P$43</formula1>
    </dataValidation>
    <dataValidation type="list" allowBlank="1" showInputMessage="1" showErrorMessage="1" sqref="F16 F15:G15 F19:F22">
      <formula1>$P$36:$P$37</formula1>
    </dataValidation>
    <dataValidation type="list" allowBlank="1" showInputMessage="1" showErrorMessage="1" sqref="F18:G18">
      <formula1>$P$46:$P$48</formula1>
    </dataValidation>
    <dataValidation type="whole" allowBlank="1" showInputMessage="1" showErrorMessage="1" errorTitle="Неверное количество" error="Не более двух доводчиков на одну дверь." sqref="F13">
      <formula1>0</formula1>
      <formula2>F10*2</formula2>
    </dataValidation>
    <dataValidation type="list" allowBlank="1" showInputMessage="1" showErrorMessage="1" sqref="F12:G12">
      <formula1>$P$63:$P$64</formula1>
    </dataValidation>
    <dataValidation type="list" allowBlank="1" showInputMessage="1" showErrorMessage="1" sqref="F9:G9">
      <formula1>$P$55:$P$62</formula1>
    </dataValidation>
  </dataValidations>
  <hyperlinks>
    <hyperlink ref="L39" location="Contents!A1" display="Contents"/>
  </hyperlinks>
  <printOptions horizontalCentered="1"/>
  <pageMargins left="0.39370078740157483" right="0.39370078740157483" top="0.39370078740157483" bottom="0.39370078740157483" header="0" footer="0"/>
  <pageSetup paperSize="9" scale="5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5" id="{FB184399-AE79-4CCF-B7D7-AF8B8616D2C5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D38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B1:Q76"/>
  <sheetViews>
    <sheetView zoomScale="70" zoomScaleNormal="70" workbookViewId="0">
      <selection activeCell="F6" sqref="F6:G6"/>
    </sheetView>
  </sheetViews>
  <sheetFormatPr defaultColWidth="9.109375" defaultRowHeight="18" x14ac:dyDescent="0.35"/>
  <cols>
    <col min="1" max="1" width="3" style="22" customWidth="1"/>
    <col min="2" max="2" width="43.44140625" style="22" customWidth="1"/>
    <col min="3" max="3" width="41.6640625" style="22" customWidth="1"/>
    <col min="4" max="4" width="15.6640625" style="22" customWidth="1"/>
    <col min="5" max="7" width="14.6640625" style="64" customWidth="1"/>
    <col min="8" max="8" width="2.6640625" style="22" customWidth="1"/>
    <col min="9" max="9" width="69.33203125" style="22" customWidth="1"/>
    <col min="10" max="10" width="17.109375" style="22" customWidth="1"/>
    <col min="11" max="11" width="16.6640625" style="22" customWidth="1"/>
    <col min="12" max="12" width="14.109375" style="22" customWidth="1"/>
    <col min="13" max="13" width="15.109375" style="22" hidden="1" customWidth="1"/>
    <col min="14" max="14" width="12.5546875" style="22" hidden="1" customWidth="1"/>
    <col min="15" max="15" width="11.5546875" style="22" hidden="1" customWidth="1"/>
    <col min="16" max="16" width="20.6640625" style="22" hidden="1" customWidth="1"/>
    <col min="17" max="17" width="25.33203125" style="22" hidden="1" customWidth="1"/>
    <col min="18" max="18" width="0" style="22" hidden="1" customWidth="1"/>
    <col min="19" max="16384" width="9.109375" style="22"/>
  </cols>
  <sheetData>
    <row r="1" spans="2:16" x14ac:dyDescent="0.35">
      <c r="B1" s="21"/>
      <c r="C1" s="21"/>
      <c r="D1" s="21"/>
    </row>
    <row r="2" spans="2:16" s="23" customFormat="1" ht="27.6" customHeight="1" x14ac:dyDescent="0.3">
      <c r="B2" s="112" t="s">
        <v>40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2:16" s="24" customFormat="1" ht="20.100000000000001" customHeight="1" x14ac:dyDescent="0.35">
      <c r="B3" s="25"/>
      <c r="C3" s="25"/>
      <c r="D3" s="25"/>
      <c r="E3" s="25"/>
      <c r="F3" s="25"/>
      <c r="G3" s="25"/>
      <c r="I3" s="26"/>
      <c r="J3" s="26"/>
      <c r="K3" s="26"/>
      <c r="L3" s="26"/>
      <c r="P3" s="27" t="s">
        <v>25</v>
      </c>
    </row>
    <row r="4" spans="2:16" s="24" customFormat="1" ht="20.100000000000001" customHeight="1" x14ac:dyDescent="0.3">
      <c r="B4" s="117" t="s">
        <v>39</v>
      </c>
      <c r="C4" s="117"/>
      <c r="D4" s="117"/>
      <c r="E4" s="117"/>
      <c r="F4" s="117"/>
      <c r="G4" s="117"/>
      <c r="I4" s="117" t="s">
        <v>43</v>
      </c>
      <c r="J4" s="117"/>
      <c r="K4" s="117"/>
      <c r="L4" s="117"/>
      <c r="P4" s="27" t="s">
        <v>24</v>
      </c>
    </row>
    <row r="5" spans="2:16" s="23" customFormat="1" ht="20.100000000000001" customHeight="1" thickBot="1" x14ac:dyDescent="0.35">
      <c r="B5" s="28"/>
      <c r="C5" s="28"/>
      <c r="D5" s="28"/>
      <c r="E5" s="28"/>
      <c r="F5" s="28"/>
      <c r="G5" s="28"/>
      <c r="H5" s="24"/>
      <c r="I5" s="28"/>
      <c r="J5" s="28"/>
      <c r="K5" s="28"/>
      <c r="L5" s="28"/>
      <c r="P5" s="27"/>
    </row>
    <row r="6" spans="2:16" s="23" customFormat="1" ht="20.100000000000001" customHeight="1" x14ac:dyDescent="0.3">
      <c r="B6" s="150" t="s">
        <v>79</v>
      </c>
      <c r="C6" s="151"/>
      <c r="D6" s="151"/>
      <c r="E6" s="151"/>
      <c r="F6" s="126">
        <v>2600</v>
      </c>
      <c r="G6" s="127"/>
      <c r="I6" s="181" t="s">
        <v>44</v>
      </c>
      <c r="J6" s="182"/>
      <c r="K6" s="29" t="s">
        <v>45</v>
      </c>
      <c r="L6" s="88">
        <f>F6-30</f>
        <v>2570</v>
      </c>
      <c r="P6" s="27"/>
    </row>
    <row r="7" spans="2:16" s="23" customFormat="1" ht="20.100000000000001" customHeight="1" thickBot="1" x14ac:dyDescent="0.35">
      <c r="B7" s="152" t="s">
        <v>80</v>
      </c>
      <c r="C7" s="153"/>
      <c r="D7" s="153"/>
      <c r="E7" s="153"/>
      <c r="F7" s="128">
        <v>500</v>
      </c>
      <c r="G7" s="129"/>
      <c r="I7" s="183"/>
      <c r="J7" s="184"/>
      <c r="K7" s="74" t="s">
        <v>46</v>
      </c>
      <c r="L7" s="89">
        <f>IF(F9=P55,Q55,IF(F9=P56,Q56,IF(F9=P57,Q57,IF(F9=P58,Q58,IF(F9=P59,Q59,IF(F9=P60,Q60,IF(F9=P62,Q62,IF(F9=P61,Q61,0))))))))</f>
        <v>494</v>
      </c>
      <c r="P7" s="27"/>
    </row>
    <row r="8" spans="2:16" s="23" customFormat="1" ht="20.100000000000001" customHeight="1" thickBot="1" x14ac:dyDescent="0.35">
      <c r="B8" s="154" t="s">
        <v>81</v>
      </c>
      <c r="C8" s="155"/>
      <c r="D8" s="155"/>
      <c r="E8" s="155"/>
      <c r="F8" s="130" t="s">
        <v>25</v>
      </c>
      <c r="G8" s="131"/>
      <c r="I8" s="30"/>
      <c r="J8" s="30"/>
      <c r="K8" s="31"/>
      <c r="L8" s="1"/>
    </row>
    <row r="9" spans="2:16" s="23" customFormat="1" ht="20.100000000000001" customHeight="1" x14ac:dyDescent="0.3">
      <c r="B9" s="158" t="s">
        <v>122</v>
      </c>
      <c r="C9" s="159"/>
      <c r="D9" s="159"/>
      <c r="E9" s="159"/>
      <c r="F9" s="156" t="s">
        <v>12</v>
      </c>
      <c r="G9" s="157"/>
      <c r="I9" s="75" t="s">
        <v>47</v>
      </c>
      <c r="J9" s="76" t="s">
        <v>48</v>
      </c>
      <c r="K9" s="77" t="s">
        <v>49</v>
      </c>
      <c r="L9" s="78" t="s">
        <v>50</v>
      </c>
      <c r="M9" s="50"/>
    </row>
    <row r="10" spans="2:16" s="23" customFormat="1" ht="20.100000000000001" customHeight="1" x14ac:dyDescent="0.35">
      <c r="B10" s="154" t="s">
        <v>82</v>
      </c>
      <c r="C10" s="155"/>
      <c r="D10" s="155"/>
      <c r="E10" s="155"/>
      <c r="F10" s="132">
        <f>IF(F8=P3,1,2)</f>
        <v>1</v>
      </c>
      <c r="G10" s="133"/>
      <c r="I10" s="59" t="s">
        <v>103</v>
      </c>
      <c r="J10" s="58" t="s">
        <v>29</v>
      </c>
      <c r="K10" s="85">
        <f>F7-2</f>
        <v>498</v>
      </c>
      <c r="L10" s="60">
        <v>2</v>
      </c>
      <c r="M10" s="67"/>
    </row>
    <row r="11" spans="2:16" s="23" customFormat="1" ht="20.100000000000001" customHeight="1" x14ac:dyDescent="0.35">
      <c r="B11" s="158" t="s">
        <v>102</v>
      </c>
      <c r="C11" s="159"/>
      <c r="D11" s="159"/>
      <c r="E11" s="159"/>
      <c r="F11" s="156" t="s">
        <v>93</v>
      </c>
      <c r="G11" s="157"/>
      <c r="I11" s="101" t="str">
        <f>IF(F9=P55,P69,IF(F9=P56,P70,IF(F9=P57,P71,IF(F9=P58,P72,IF(F9=P59,P73,IF(F9=P60,P74,IF(F9=P61,P75,P76)))))))</f>
        <v>Stile C</v>
      </c>
      <c r="J11" s="32" t="str">
        <f>IF(F9=P55,Q69,IF(F9=P56,Q70,IF(F9=P57,Q71,IF(F9=P58,Q72,IF(F9=P59,Q73,IF(F9=P60,Q74,IF(F9=P61,Q75,Q76)))))))</f>
        <v>AS0010.BP540</v>
      </c>
      <c r="K11" s="86">
        <f>$L$6</f>
        <v>2570</v>
      </c>
      <c r="L11" s="2">
        <f>IF(K11&gt;0,$F$10*2,0)</f>
        <v>2</v>
      </c>
      <c r="M11" s="22">
        <v>0.51200000000000001</v>
      </c>
      <c r="N11" s="69">
        <f>IF(I11=P69,K11*L11*M11/1000,0)</f>
        <v>2.6316799999999998</v>
      </c>
      <c r="P11" s="16" t="s">
        <v>87</v>
      </c>
    </row>
    <row r="12" spans="2:16" s="23" customFormat="1" ht="20.100000000000001" customHeight="1" x14ac:dyDescent="0.35">
      <c r="B12" s="160" t="s">
        <v>84</v>
      </c>
      <c r="C12" s="161"/>
      <c r="D12" s="161"/>
      <c r="E12" s="161"/>
      <c r="F12" s="134">
        <v>0</v>
      </c>
      <c r="G12" s="135"/>
      <c r="I12" s="101" t="s">
        <v>65</v>
      </c>
      <c r="J12" s="32" t="s">
        <v>18</v>
      </c>
      <c r="K12" s="86">
        <f>IF(OR(F9=P55,F9=P58,F9=P59,F9=P60),L7-51,IF(F9=P56,L7-68,IF(F9=P61,L7-39,L7-76)))</f>
        <v>443</v>
      </c>
      <c r="L12" s="2">
        <f>F10</f>
        <v>1</v>
      </c>
      <c r="M12" s="22">
        <v>0.495</v>
      </c>
      <c r="N12" s="69">
        <f>IF(I11=P70,K11*L11*M12/1000,0)</f>
        <v>0</v>
      </c>
      <c r="P12" s="16" t="s">
        <v>88</v>
      </c>
    </row>
    <row r="13" spans="2:16" s="23" customFormat="1" ht="20.100000000000001" customHeight="1" x14ac:dyDescent="0.35">
      <c r="B13" s="174" t="s">
        <v>104</v>
      </c>
      <c r="C13" s="175"/>
      <c r="D13" s="175"/>
      <c r="E13" s="176"/>
      <c r="F13" s="165" t="s">
        <v>96</v>
      </c>
      <c r="G13" s="166"/>
      <c r="I13" s="101" t="s">
        <v>66</v>
      </c>
      <c r="J13" s="32" t="s">
        <v>19</v>
      </c>
      <c r="K13" s="86">
        <f>K12</f>
        <v>443</v>
      </c>
      <c r="L13" s="2">
        <f>F10</f>
        <v>1</v>
      </c>
      <c r="M13" s="22">
        <v>0.69</v>
      </c>
      <c r="N13" s="69">
        <f>IF(I11=P71,K11*L11*M13/1000,0)</f>
        <v>0</v>
      </c>
      <c r="P13" s="16" t="s">
        <v>89</v>
      </c>
    </row>
    <row r="14" spans="2:16" s="23" customFormat="1" ht="20.100000000000001" customHeight="1" thickBot="1" x14ac:dyDescent="0.4">
      <c r="B14" s="177" t="s">
        <v>105</v>
      </c>
      <c r="C14" s="178"/>
      <c r="D14" s="178"/>
      <c r="E14" s="178"/>
      <c r="F14" s="179" t="s">
        <v>111</v>
      </c>
      <c r="G14" s="180"/>
      <c r="I14" s="101" t="s">
        <v>67</v>
      </c>
      <c r="J14" s="32" t="s">
        <v>20</v>
      </c>
      <c r="K14" s="86">
        <f>K12</f>
        <v>443</v>
      </c>
      <c r="L14" s="2">
        <f>IF(F11=P63,F10*F12,0)</f>
        <v>0</v>
      </c>
      <c r="M14" s="22">
        <v>0.53400000000000003</v>
      </c>
      <c r="N14" s="69">
        <f>IF(I11=P72,K11*L11*M14/1000,0)</f>
        <v>0</v>
      </c>
    </row>
    <row r="15" spans="2:16" s="23" customFormat="1" ht="20.100000000000001" customHeight="1" thickBot="1" x14ac:dyDescent="0.35">
      <c r="I15" s="33" t="s">
        <v>68</v>
      </c>
      <c r="J15" s="34" t="s">
        <v>21</v>
      </c>
      <c r="K15" s="87">
        <f>K12</f>
        <v>443</v>
      </c>
      <c r="L15" s="3">
        <f>IF(F11=P64,F10*F12,0)</f>
        <v>0</v>
      </c>
      <c r="M15" s="23">
        <v>0.36299999999999999</v>
      </c>
      <c r="N15" s="69">
        <f>IF(I11=P73,K11*L11*M15/1000,0)</f>
        <v>0</v>
      </c>
    </row>
    <row r="16" spans="2:16" s="23" customFormat="1" ht="20.100000000000001" customHeight="1" thickBot="1" x14ac:dyDescent="0.35">
      <c r="B16" s="23" t="s">
        <v>131</v>
      </c>
      <c r="I16" s="50"/>
      <c r="J16" s="70"/>
      <c r="K16" s="71"/>
      <c r="L16" s="72"/>
      <c r="M16" s="23">
        <v>0.36199999999999999</v>
      </c>
      <c r="N16" s="69">
        <f>IF(I11=P74,K11*L11*M16/1000,0)</f>
        <v>0</v>
      </c>
    </row>
    <row r="17" spans="2:16" s="23" customFormat="1" ht="20.100000000000001" customHeight="1" x14ac:dyDescent="0.3">
      <c r="B17" s="23" t="s">
        <v>132</v>
      </c>
      <c r="I17" s="79" t="s">
        <v>51</v>
      </c>
      <c r="J17" s="76" t="s">
        <v>48</v>
      </c>
      <c r="K17" s="172" t="s">
        <v>50</v>
      </c>
      <c r="L17" s="173"/>
      <c r="M17" s="23">
        <v>0.46</v>
      </c>
      <c r="N17" s="69">
        <f>IF(I11=P76,M17*K11*L11/1000,0)</f>
        <v>0</v>
      </c>
      <c r="P17" s="96" t="s">
        <v>90</v>
      </c>
    </row>
    <row r="18" spans="2:16" s="23" customFormat="1" ht="20.100000000000001" customHeight="1" x14ac:dyDescent="0.3">
      <c r="F18" s="23" t="s">
        <v>0</v>
      </c>
      <c r="I18" s="62" t="s">
        <v>109</v>
      </c>
      <c r="J18" s="36" t="s">
        <v>26</v>
      </c>
      <c r="K18" s="136">
        <f>F10</f>
        <v>1</v>
      </c>
      <c r="L18" s="137"/>
      <c r="M18" s="23">
        <v>0.24099999999999999</v>
      </c>
      <c r="N18" s="23">
        <f>M18*K12*L12/1000</f>
        <v>0.106763</v>
      </c>
      <c r="P18" s="96" t="s">
        <v>91</v>
      </c>
    </row>
    <row r="19" spans="2:16" s="23" customFormat="1" ht="20.100000000000001" customHeight="1" x14ac:dyDescent="0.3">
      <c r="B19" s="23" t="s">
        <v>61</v>
      </c>
      <c r="I19" s="100" t="s">
        <v>70</v>
      </c>
      <c r="J19" s="20" t="s">
        <v>72</v>
      </c>
      <c r="K19" s="142">
        <f>ROUNDUP((IF(C25=P12,(E25+F25)*2*G25,0)
+IF(C26=P12,(E26+F26)*2*G26,0)
+IF(C27=P12,(E27+F27)*2*G27,0)
+IF(C28=P12,(E28+F28)*2*G28,0)
+IF(C29=P12,(E29+F29)*2*G29,0))/1000,0)</f>
        <v>0</v>
      </c>
      <c r="L19" s="143"/>
      <c r="M19" s="23">
        <v>0.49300000000000005</v>
      </c>
      <c r="N19" s="23">
        <f>M19*K13*L13/1000</f>
        <v>0.21839900000000004</v>
      </c>
    </row>
    <row r="20" spans="2:16" s="23" customFormat="1" ht="20.100000000000001" customHeight="1" thickBot="1" x14ac:dyDescent="0.35">
      <c r="I20" s="100" t="s">
        <v>71</v>
      </c>
      <c r="J20" s="20" t="s">
        <v>73</v>
      </c>
      <c r="K20" s="142">
        <f>ROUNDUP((IF(C25=P13,(E25+F25)*2*G25,0)
+IF(C26=P13,(E26+F26)*2*G26,0)
+IF(C27=P13,(E27+F27)*2*G27,0)
+IF(C28=P13,(E28+F28)*2*G28,0)
+IF(C29=P13,(E29+F29)*2*G29,0))/1000,0)</f>
        <v>6</v>
      </c>
      <c r="L20" s="143"/>
      <c r="M20" s="23">
        <v>0.33600000000000002</v>
      </c>
      <c r="N20" s="23">
        <f>M20*K14*L14/1000</f>
        <v>0</v>
      </c>
    </row>
    <row r="21" spans="2:16" s="23" customFormat="1" ht="20.100000000000001" customHeight="1" thickBot="1" x14ac:dyDescent="0.4">
      <c r="B21" s="38" t="s">
        <v>59</v>
      </c>
      <c r="C21" s="39">
        <f>F12+1</f>
        <v>1</v>
      </c>
      <c r="D21" s="52"/>
      <c r="F21" s="37"/>
      <c r="G21" s="37"/>
      <c r="I21" s="44" t="s">
        <v>75</v>
      </c>
      <c r="J21" s="20" t="s">
        <v>9</v>
      </c>
      <c r="K21" s="170">
        <f>IF(F13=P46,L12*2+L13*2+L14*2+L15*2,0)</f>
        <v>4</v>
      </c>
      <c r="L21" s="171"/>
      <c r="M21" s="23">
        <v>0.17199999999999999</v>
      </c>
      <c r="N21" s="23">
        <f>M21*K15*L15/1000</f>
        <v>0</v>
      </c>
      <c r="P21" s="97" t="s">
        <v>92</v>
      </c>
    </row>
    <row r="22" spans="2:16" s="23" customFormat="1" ht="20.100000000000001" customHeight="1" thickBot="1" x14ac:dyDescent="0.4">
      <c r="I22" s="46" t="s">
        <v>76</v>
      </c>
      <c r="J22" s="17" t="s">
        <v>10</v>
      </c>
      <c r="K22" s="115">
        <f>IF(F13=P47,ROUNDUP(L11*L6/1000,0),0)</f>
        <v>0</v>
      </c>
      <c r="L22" s="147"/>
      <c r="N22" s="35">
        <f>SUM(N11:N21)/F10</f>
        <v>2.956842</v>
      </c>
      <c r="P22" s="22" t="s">
        <v>0</v>
      </c>
    </row>
    <row r="23" spans="2:16" s="23" customFormat="1" ht="20.100000000000001" customHeight="1" thickBot="1" x14ac:dyDescent="0.35">
      <c r="I23" s="100" t="s">
        <v>77</v>
      </c>
      <c r="J23" s="36" t="s">
        <v>7</v>
      </c>
      <c r="K23" s="113">
        <f>IF(K22&gt;0,L11*2,0)</f>
        <v>0</v>
      </c>
      <c r="L23" s="144"/>
    </row>
    <row r="24" spans="2:16" s="23" customFormat="1" ht="20.100000000000001" customHeight="1" x14ac:dyDescent="0.3">
      <c r="B24" s="91" t="s">
        <v>52</v>
      </c>
      <c r="C24" s="92" t="s">
        <v>53</v>
      </c>
      <c r="D24" s="102"/>
      <c r="E24" s="92" t="s">
        <v>45</v>
      </c>
      <c r="F24" s="92" t="s">
        <v>46</v>
      </c>
      <c r="G24" s="40" t="s">
        <v>50</v>
      </c>
      <c r="I24" s="62" t="s">
        <v>108</v>
      </c>
      <c r="J24" s="20" t="s">
        <v>23</v>
      </c>
      <c r="K24" s="142">
        <f>IF(F13=P48,ROUNDUP(L11*L6/1000,0),0)</f>
        <v>0</v>
      </c>
      <c r="L24" s="143"/>
    </row>
    <row r="25" spans="2:16" s="23" customFormat="1" ht="20.100000000000001" customHeight="1" x14ac:dyDescent="0.3">
      <c r="B25" s="93" t="s">
        <v>54</v>
      </c>
      <c r="C25" s="14" t="s">
        <v>89</v>
      </c>
      <c r="D25" s="104">
        <f>E25/$N$42</f>
        <v>1</v>
      </c>
      <c r="E25" s="80">
        <f>ROUNDDOWN(L6-IF(E29=0,0,IF(C29=P11,E29,IF(C29=P12,E29+2,E29+3)))-
IF(E28=0,0,IF(C28=P11,E28,IF(C28=P12,E28+2,E28+3)))-
IF(E27=0,0,IF(C27=P11,E27,IF(C27=P12,E27+2,E27+3)))-
IF(E26=0,0,IF(C26=P11,E26,IF(C26=P12,E26+2,E26+3)))-11-46-
IF(C25=P12,2,IF(C25=P13,3,0))-F12*IF(F11=P63,9,1.4),0)</f>
        <v>2510</v>
      </c>
      <c r="F25" s="109">
        <f>IF(AND(C25=P11,OR(F9=P55,F9=P58,F9=P59,F9=P60)),L7-36,IF(AND(C25=P11,F9=P56),L7-54,IF(AND(C25=P11,F9=P57),L7-60,IF(AND(C25=P11,F9=P62),L7-44,IF(AND(C25=P11,F9=P61),L7-24,
IF(AND(C25=P12,OR(F9=P55,F9=P58,F9=P59,F9=P60)),L7-36-2,IF(AND(C25=P12,F9=P56),L7-54-2,IF(AND(C25=P12,F9=P57),L7-60-2,IF(AND(C25=P12,F9=P62),L7-44-2,IF(AND(C25=P12,F9=P61),L7-24-2,
IF(AND(C25=P13,OR(F9=P55,F9=P58,F9=P59,F9=P60)),L7-36-3,IF(AND(C25=P13,F9=P56),L7-54-3,IF(AND(C25=P13,F9=P57),L7-60-3,IF(AND(C25=P13,F9=P62),L7-44-3,IF(AND(C25=P13,F9=P61),L7-24-3,0)))))))))))))))</f>
        <v>455</v>
      </c>
      <c r="G25" s="83">
        <f>$F$10</f>
        <v>1</v>
      </c>
      <c r="H25" s="43">
        <f>IF(E25&lt;&gt;0,1,0)</f>
        <v>1</v>
      </c>
      <c r="I25" s="62" t="s">
        <v>106</v>
      </c>
      <c r="J25" s="20" t="s">
        <v>27</v>
      </c>
      <c r="K25" s="170">
        <f>IF(F14=P68,F10,0)</f>
        <v>1</v>
      </c>
      <c r="L25" s="171"/>
      <c r="P25" s="98">
        <v>0</v>
      </c>
    </row>
    <row r="26" spans="2:16" s="23" customFormat="1" ht="20.100000000000001" customHeight="1" x14ac:dyDescent="0.3">
      <c r="B26" s="93" t="s">
        <v>55</v>
      </c>
      <c r="C26" s="14" t="s">
        <v>89</v>
      </c>
      <c r="D26" s="104">
        <f t="shared" ref="D26:D29" si="0">E26/$N$42</f>
        <v>0</v>
      </c>
      <c r="E26" s="81">
        <v>0</v>
      </c>
      <c r="F26" s="109">
        <f>IF(AND(C26=P11,OR(F9=P55,F9=P58,F9=P59,F9=P60)),L7-36,IF(AND(C26=P11,F9=P56),L7-54,IF(AND(C26=P11,F9=P57),L7-60,IF(AND(C26=P11,F9=P62),L7-44,IF(AND(C26=P11,F9=P61),L7-24,
IF(AND(C26=P12,OR(F9=P55,F9=P58,F9=P59,F9=P60)),L7-36-2,IF(AND(C26=P12,F9=P56),L7-54-2,IF(AND(C26=P12,F9=P57),L7-60-2,IF(AND(C26=P12,F9=P62),L7-44-2,IF(AND(C26=P12,F9=P61),L7-24-2,
IF(AND(C26=P13,OR(F9=P55,F9=P58,F9=P59,F9=P60)),L7-36-3,IF(AND(C26=P13,F9=P56),L7-54-3,IF(AND(C26=P13,F9=P57),L7-60-3,IF(AND(C26=P13,F9=P62),L7-44-3,IF(AND(C26=P13,F9=P61),L7-24-3,0)))))))))))))))</f>
        <v>455</v>
      </c>
      <c r="G26" s="83">
        <f>IF(E26&lt;&gt;0,$F$10,0)</f>
        <v>0</v>
      </c>
      <c r="H26" s="43">
        <f>IF(E26&lt;&gt;0,1,0)</f>
        <v>0</v>
      </c>
      <c r="I26" s="62" t="s">
        <v>107</v>
      </c>
      <c r="J26" s="20" t="s">
        <v>28</v>
      </c>
      <c r="K26" s="170">
        <f>IF(F14=P67,F10,0)</f>
        <v>0</v>
      </c>
      <c r="L26" s="171"/>
      <c r="P26" s="99">
        <v>1</v>
      </c>
    </row>
    <row r="27" spans="2:16" s="23" customFormat="1" ht="20.100000000000001" customHeight="1" thickBot="1" x14ac:dyDescent="0.35">
      <c r="B27" s="93" t="s">
        <v>56</v>
      </c>
      <c r="C27" s="14" t="s">
        <v>89</v>
      </c>
      <c r="D27" s="104">
        <f t="shared" si="0"/>
        <v>0</v>
      </c>
      <c r="E27" s="81">
        <v>0</v>
      </c>
      <c r="F27" s="109">
        <f>IF(AND(C27=P11,OR(F9=P55,F9=P58,F9=P59,F9=P60)),L7-36,IF(AND(C27=P11,F9=P56),L7-54,IF(AND(C27=P11,F9=P57),L7-60,IF(AND(C27=P11,F9=P62),L7-44,IF(AND(C27=P11,F9=P61),L7-24,
IF(AND(C27=P12,OR(F9=P55,F9=P58,F9=P59,F9=P60)),L7-36-2,IF(AND(C27=P12,F9=P56),L7-54-2,IF(AND(C27=P12,F9=P57),L7-60-2,IF(AND(C27=P12,F9=P62),L7-44-2,IF(AND(C27=P12,F9=P61),L7-24-2,
IF(AND(C27=P13,OR(F9=P55,F9=P58,F9=P59,F9=P60)),L7-36-3,IF(AND(C27=P13,F9=P56),L7-54-3,IF(AND(C27=P13,F9=P57),L7-60-3,IF(AND(C27=P13,F9=P62),L7-44-3,IF(AND(C27=P13,F9=P61),L7-24-3,0)))))))))))))))</f>
        <v>455</v>
      </c>
      <c r="G27" s="83">
        <f>IF(E27&lt;&gt;0,$F$10,0)</f>
        <v>0</v>
      </c>
      <c r="H27" s="43">
        <f>IF(E27&lt;&gt;0,1,0)</f>
        <v>0</v>
      </c>
      <c r="I27" s="33" t="s">
        <v>78</v>
      </c>
      <c r="J27" s="48" t="s">
        <v>6</v>
      </c>
      <c r="K27" s="138">
        <f>L14*2</f>
        <v>0</v>
      </c>
      <c r="L27" s="139"/>
      <c r="P27" s="98">
        <v>2</v>
      </c>
    </row>
    <row r="28" spans="2:16" s="23" customFormat="1" ht="20.100000000000001" customHeight="1" x14ac:dyDescent="0.3">
      <c r="B28" s="93" t="s">
        <v>57</v>
      </c>
      <c r="C28" s="14" t="s">
        <v>89</v>
      </c>
      <c r="D28" s="104">
        <f t="shared" si="0"/>
        <v>0</v>
      </c>
      <c r="E28" s="81">
        <v>0</v>
      </c>
      <c r="F28" s="109">
        <f>IF(AND(C28=P11,OR(F9=P55,F9=P58,F9=P59,F9=P60)),L7-36,IF(AND(C28=P11,F9=P56),L7-54,IF(AND(C28=P11,F9=P57),L7-60,IF(AND(C28=P11,F9=P62),L7-44,IF(AND(C28=P11,F9=P61),L7-24,
IF(AND(C28=P12,OR(F9=P55,F9=P58,F9=P59,F9=P60)),L7-36-2,IF(AND(C28=P12,F9=P56),L7-54-2,IF(AND(C28=P12,F9=P57),L7-60-2,IF(AND(C28=P12,F9=P62),L7-44-2,IF(AND(C28=P12,F9=P61),L7-24-2,
IF(AND(C28=P13,OR(F9=P55,F9=P58,F9=P59,F9=P60)),L7-36-3,IF(AND(C28=P13,F9=P56),L7-54-3,IF(AND(C28=P13,F9=P57),L7-60-3,IF(AND(C28=P13,F9=P62),L7-44-3,IF(AND(C28=P13,F9=P61),L7-24-3,0)))))))))))))))</f>
        <v>455</v>
      </c>
      <c r="G28" s="83">
        <f>IF(E28&lt;&gt;0,$F$10,0)</f>
        <v>0</v>
      </c>
      <c r="H28" s="43">
        <f>IF(E28&lt;&gt;0,1,0)</f>
        <v>0</v>
      </c>
      <c r="I28" s="65"/>
      <c r="J28" s="37"/>
      <c r="K28" s="66"/>
      <c r="L28" s="66"/>
      <c r="N28" s="53"/>
      <c r="P28" s="98">
        <v>3</v>
      </c>
    </row>
    <row r="29" spans="2:16" s="23" customFormat="1" ht="20.100000000000001" customHeight="1" thickBot="1" x14ac:dyDescent="0.4">
      <c r="B29" s="94" t="s">
        <v>58</v>
      </c>
      <c r="C29" s="15" t="s">
        <v>89</v>
      </c>
      <c r="D29" s="105">
        <f t="shared" si="0"/>
        <v>0</v>
      </c>
      <c r="E29" s="82">
        <v>0</v>
      </c>
      <c r="F29" s="110">
        <f>IF(AND(C29=P11,OR(F9=P55,F9=P58,F9=P59,F9=P60)),L7-36,IF(AND(C29=P11,F9=P56),L7-54,IF(AND(C29=P11,F9=P57),L7-60,IF(AND(C29=P11,F9=P62),L7-44,IF(AND(C29=P11,F9=P61),L7-24,
IF(AND(C29=P12,OR(F9=P55,F9=P58,F9=P59,F9=P60)),L7-36-2,IF(AND(C29=P12,F9=P56),L7-54-2,IF(AND(C29=P12,F9=P57),L7-60-2,IF(AND(C29=P12,F9=P62),L7-44-2,IF(AND(C29=P12,F9=P61),L7-24-2,
IF(AND(C29=P13,OR(F9=P55,F9=P58,F9=P59,F9=P60)),L7-36-3,IF(AND(C29=P13,F9=P56),L7-54-3,IF(AND(C29=P13,F9=P57),L7-60-3,IF(AND(C29=P13,F9=P62),L7-44-3,IF(AND(C29=P13,F9=P61),L7-24-3,0)))))))))))))))</f>
        <v>455</v>
      </c>
      <c r="G29" s="84">
        <f>IF(E29&lt;&gt;0,$F$10,0)</f>
        <v>0</v>
      </c>
      <c r="H29" s="43">
        <f>IF(E29&lt;&gt;0,1,0)</f>
        <v>0</v>
      </c>
      <c r="I29" s="51"/>
      <c r="J29" s="51"/>
      <c r="K29" s="22"/>
      <c r="L29" s="57" t="s">
        <v>62</v>
      </c>
      <c r="M29" s="54"/>
      <c r="P29" s="98">
        <v>4</v>
      </c>
    </row>
    <row r="30" spans="2:16" ht="20.100000000000001" customHeight="1" thickBot="1" x14ac:dyDescent="0.4">
      <c r="B30" s="23"/>
      <c r="C30" s="23"/>
      <c r="D30" s="23"/>
      <c r="E30" s="23"/>
      <c r="F30" s="23"/>
      <c r="G30" s="23"/>
      <c r="H30" s="23"/>
      <c r="M30" s="55"/>
    </row>
    <row r="31" spans="2:16" ht="20.100000000000001" customHeight="1" thickBot="1" x14ac:dyDescent="0.4">
      <c r="B31" s="23"/>
      <c r="C31" s="20" t="str">
        <f>IF((SUM(H25:H29)/C21)&lt;&gt;1,P17,P18)</f>
        <v>Correct insert heights</v>
      </c>
      <c r="D31" s="64">
        <f>IF(C31=P18,1,0)</f>
        <v>1</v>
      </c>
      <c r="F31" s="49" t="s">
        <v>60</v>
      </c>
      <c r="G31" s="90">
        <f>ROUNDUP(N38,0)</f>
        <v>17</v>
      </c>
      <c r="H31" s="23"/>
      <c r="N31" s="23">
        <f>IF(C25=$P$11,((E25*F25*G25/$F$10)/1000000)*8,IF(C25=$P$12,((E25*F25*G25/$F$10)/1000000)*6.5,((E25*F25*G25/$F$10)/1000000)*11))</f>
        <v>12.56255</v>
      </c>
    </row>
    <row r="32" spans="2:16" ht="21" customHeight="1" x14ac:dyDescent="0.35">
      <c r="B32" s="23"/>
      <c r="C32" s="23"/>
      <c r="D32" s="23"/>
      <c r="E32" s="23"/>
      <c r="F32" s="23"/>
      <c r="G32" s="23"/>
      <c r="H32" s="23"/>
      <c r="N32" s="23">
        <f>IF(C26=$P$11,((E26*F26*G26/$F$10)/1000000)*8,IF(C26=$P$12,((E26*F26*G26/$F$10)/1000000)*6.5,((E26*F26*G26/$F$10)/1000000)*11))</f>
        <v>0</v>
      </c>
    </row>
    <row r="33" spans="2:16" ht="20.100000000000001" customHeight="1" x14ac:dyDescent="0.35">
      <c r="B33" s="23"/>
      <c r="C33" s="169" t="str">
        <f>IF(AND(SUM(H25:H29)/C21=1,E29=0,C21&lt;&gt;1),P21,P22)</f>
        <v xml:space="preserve"> </v>
      </c>
      <c r="D33" s="169"/>
      <c r="E33" s="23"/>
      <c r="F33" s="23"/>
      <c r="G33" s="23"/>
      <c r="H33" s="23"/>
      <c r="N33" s="23">
        <f>IF(C27=$P$11,((E27*F27*G27/$F$10)/1000000)*8,IF(C27=$P$12,((E27*F27*G27/$F$10)/1000000)*6.5,((E27*F27*G27/$F$10)/1000000)*11))</f>
        <v>0</v>
      </c>
      <c r="P33" s="16" t="s">
        <v>87</v>
      </c>
    </row>
    <row r="34" spans="2:16" ht="20.100000000000001" customHeight="1" x14ac:dyDescent="0.35">
      <c r="B34" s="23"/>
      <c r="C34" s="23"/>
      <c r="D34" s="23"/>
      <c r="E34" s="23"/>
      <c r="F34" s="23"/>
      <c r="G34" s="23"/>
      <c r="H34" s="23"/>
      <c r="N34" s="23">
        <f>IF(C28=$P$11,((E28*F28*G28/$F$10)/1000000)*8,IF(C28=$P$12,((E28*F28*G28/$F$10)/1000000)*6.5,((E28*F28*G28/$F$10)/1000000)*11))</f>
        <v>0</v>
      </c>
      <c r="P34" s="16" t="s">
        <v>89</v>
      </c>
    </row>
    <row r="35" spans="2:16" ht="20.100000000000001" customHeight="1" thickBot="1" x14ac:dyDescent="0.4">
      <c r="B35" s="23"/>
      <c r="H35" s="23"/>
      <c r="N35" s="23">
        <f>IF(C29=$P$11,((E29*F29*G29/$F$10)/1000000)*8,IF(C29=$P$12,((E29*F29*G29/$F$10)/1000000)*6.5,((E29*F29*G29/$F$10)/1000000)*11))</f>
        <v>0</v>
      </c>
    </row>
    <row r="36" spans="2:16" ht="20.100000000000001" customHeight="1" thickBot="1" x14ac:dyDescent="0.4">
      <c r="B36" s="23"/>
      <c r="C36" s="23"/>
      <c r="D36" s="23"/>
      <c r="E36" s="23"/>
      <c r="F36" s="22"/>
      <c r="G36" s="22"/>
      <c r="H36" s="23"/>
      <c r="N36" s="35">
        <f>SUM(N31:N35)</f>
        <v>12.56255</v>
      </c>
      <c r="P36" s="22" t="s">
        <v>97</v>
      </c>
    </row>
    <row r="37" spans="2:16" ht="18.600000000000001" thickBot="1" x14ac:dyDescent="0.4">
      <c r="B37" s="23"/>
      <c r="F37" s="23"/>
      <c r="G37" s="23"/>
      <c r="H37" s="23"/>
      <c r="N37" s="23"/>
      <c r="P37" s="23" t="s">
        <v>98</v>
      </c>
    </row>
    <row r="38" spans="2:16" ht="18.600000000000001" thickBot="1" x14ac:dyDescent="0.4">
      <c r="H38" s="23"/>
      <c r="M38" s="41" t="s">
        <v>11</v>
      </c>
      <c r="N38" s="42">
        <f>(N36+N22)*1.05</f>
        <v>16.2953616</v>
      </c>
    </row>
    <row r="39" spans="2:16" x14ac:dyDescent="0.35">
      <c r="E39" s="22"/>
      <c r="F39" s="22"/>
      <c r="G39" s="22"/>
      <c r="H39" s="23"/>
    </row>
    <row r="40" spans="2:16" x14ac:dyDescent="0.35">
      <c r="H40" s="23"/>
    </row>
    <row r="41" spans="2:16" x14ac:dyDescent="0.35">
      <c r="H41" s="23"/>
      <c r="P41" s="23" t="s">
        <v>98</v>
      </c>
    </row>
    <row r="42" spans="2:16" x14ac:dyDescent="0.35">
      <c r="H42" s="23"/>
      <c r="N42" s="103">
        <f>SUM(E25:E29)</f>
        <v>2510</v>
      </c>
      <c r="P42" s="22" t="s">
        <v>110</v>
      </c>
    </row>
    <row r="43" spans="2:16" x14ac:dyDescent="0.35">
      <c r="P43" s="22" t="s">
        <v>99</v>
      </c>
    </row>
    <row r="46" spans="2:16" x14ac:dyDescent="0.35">
      <c r="P46" s="18" t="s">
        <v>96</v>
      </c>
    </row>
    <row r="47" spans="2:16" x14ac:dyDescent="0.35">
      <c r="P47" s="19" t="s">
        <v>76</v>
      </c>
    </row>
    <row r="48" spans="2:16" x14ac:dyDescent="0.35">
      <c r="P48" s="18" t="s">
        <v>108</v>
      </c>
    </row>
    <row r="50" spans="16:17" x14ac:dyDescent="0.35">
      <c r="P50" s="22" t="s">
        <v>95</v>
      </c>
    </row>
    <row r="51" spans="16:17" x14ac:dyDescent="0.35">
      <c r="P51" s="22" t="s">
        <v>0</v>
      </c>
    </row>
    <row r="55" spans="16:17" x14ac:dyDescent="0.35">
      <c r="P55" s="22" t="s">
        <v>12</v>
      </c>
      <c r="Q55" s="22">
        <f>ROUNDUP(IF(AND(OR(F13=P48,F13=P47),F8=P3),(F7-5-5)/F10,
IF(AND(OR(F13=P48,F13=P47),F8=P4),(F7-5-10-5)/F10,
IF(AND(F13=P46,F8=P3),(F7-3-3)/F10,
IF(AND(F13=P46,F8=P4),(F7-3-4-3)/F10,0)))),0)</f>
        <v>494</v>
      </c>
    </row>
    <row r="56" spans="16:17" x14ac:dyDescent="0.35">
      <c r="P56" s="22" t="s">
        <v>13</v>
      </c>
      <c r="Q56" s="22">
        <f>ROUNDUP(IF(AND(OR(F13=P48,F13=P47),F8=P3),(F7-5-5)/F10,
IF(AND(OR(F13=P48,F13=P47),F8=P4),(F7-5-10-5)/F10,
IF(AND(F13=P46,F8=P3),(F7-3.5-3.5)/F10,
IF(AND(F13=P46,F8=P4),(F7-3.5-4-3.5)/F10,0)))),0)</f>
        <v>493</v>
      </c>
    </row>
    <row r="57" spans="16:17" x14ac:dyDescent="0.35">
      <c r="P57" s="22" t="s">
        <v>14</v>
      </c>
      <c r="Q57" s="22">
        <f>ROUNDUP(IF(AND(OR(F13=P48,F13=P47),F8=P3),(F7-6-6)/F10,
IF(AND(OR(F13=P48,F13=P47),F8=P4),(F7-6-10-6)/F10,
IF(AND(F13=P46,F8=P3),(F7-6-6)/F10,
IF(AND(F13=P46,F8=P4),(F7-6-4-6)/F10,0)))),0)</f>
        <v>488</v>
      </c>
    </row>
    <row r="58" spans="16:17" x14ac:dyDescent="0.35">
      <c r="P58" s="22" t="s">
        <v>15</v>
      </c>
      <c r="Q58" s="22">
        <f>ROUNDUP(IF(AND(OR(F13=P48,F13=P47),F8=P3),(F7-6-6)/F10,
IF(AND(OR(F13=P48,F13=P47),F8=P4),(F7-6-10-6)/F10,
IF(AND(F13=P46,F8=P3),(F7-6-6)/F10,
IF(AND(F13=P46,F8=P4),(F7-6-4-6)/F10,0)))),0)</f>
        <v>488</v>
      </c>
    </row>
    <row r="59" spans="16:17" x14ac:dyDescent="0.35">
      <c r="P59" s="22" t="s">
        <v>16</v>
      </c>
      <c r="Q59" s="22">
        <f>ROUNDUP(IF(AND(OR(F13=P48,F13=P47),F8=P3),(F7-5-5)/F10,
IF(AND(OR(F13=P48,F13=P47),F8=P4),(F7-5-10-5)/F10,
IF(AND(F13=P46,F8=P3),(F7-3-3)/F10,
IF(AND(F13=P46,F8=P4),(F7-3-4-3)/F10,0)))),0)</f>
        <v>494</v>
      </c>
    </row>
    <row r="60" spans="16:17" x14ac:dyDescent="0.35">
      <c r="P60" s="22" t="s">
        <v>17</v>
      </c>
      <c r="Q60" s="22">
        <f>ROUNDUP(IF(AND(OR(F13=P48,F13=P47),F8=P3),(F7-5-5)/F10,
IF(AND(OR(F13=P48,F13=P47),F8=P4),(F7-5-10-5)/F10,
IF(AND(F13=P46,F8=P3),(F7-3-3)/F10,
IF(AND(F13=P46,F8=P4),(F7-3-4-3)/F10,0)))),0)</f>
        <v>494</v>
      </c>
    </row>
    <row r="61" spans="16:17" x14ac:dyDescent="0.35">
      <c r="P61" s="22" t="s">
        <v>168</v>
      </c>
      <c r="Q61" s="22">
        <f>ROUNDUP(IF(AND(OR(F13=P48,F13=P47),F8=P3),(F7-5-5)/F10,
IF(AND(OR(F13=P48,F13=P47),F8=P4),(F7-5-10-5)/F10,
IF(AND(F13=P46,F8=P3),(F7-3-3)/F10,
IF(AND(F13=P46,F8=P4),(F7-3-4-3)/F10,0)))),0)</f>
        <v>494</v>
      </c>
    </row>
    <row r="62" spans="16:17" x14ac:dyDescent="0.35">
      <c r="P62" s="22" t="s">
        <v>133</v>
      </c>
      <c r="Q62" s="22">
        <f>ROUNDDOWN(IF(AND(OR(F13=P48,F13=P47),F8=P3),(F7-5-5)/F10,
IF(AND(OR(F13=P48,F13=P47),F8=P4),(F7-5-10-5)/F10,
IF(AND(F13=P46,F8=P3),(F7-4.5-4.5)/F10,
IF(AND(F13=P46,F8=P4),(F7-4.5-4-4.5)/F10,0)))),0)</f>
        <v>491</v>
      </c>
    </row>
    <row r="63" spans="16:17" x14ac:dyDescent="0.35">
      <c r="P63" s="22" t="s">
        <v>93</v>
      </c>
    </row>
    <row r="64" spans="16:17" x14ac:dyDescent="0.35">
      <c r="P64" s="22" t="s">
        <v>94</v>
      </c>
    </row>
    <row r="67" spans="16:17" x14ac:dyDescent="0.35">
      <c r="P67" s="22" t="s">
        <v>112</v>
      </c>
    </row>
    <row r="68" spans="16:17" x14ac:dyDescent="0.35">
      <c r="P68" s="22" t="s">
        <v>111</v>
      </c>
    </row>
    <row r="69" spans="16:17" x14ac:dyDescent="0.35">
      <c r="P69" s="22" t="s">
        <v>100</v>
      </c>
      <c r="Q69" s="22" t="s">
        <v>144</v>
      </c>
    </row>
    <row r="70" spans="16:17" x14ac:dyDescent="0.35">
      <c r="P70" s="22" t="s">
        <v>101</v>
      </c>
      <c r="Q70" s="22" t="s">
        <v>145</v>
      </c>
    </row>
    <row r="71" spans="16:17" x14ac:dyDescent="0.35">
      <c r="P71" s="22" t="s">
        <v>118</v>
      </c>
      <c r="Q71" s="22" t="s">
        <v>146</v>
      </c>
    </row>
    <row r="72" spans="16:17" x14ac:dyDescent="0.35">
      <c r="P72" s="22" t="s">
        <v>119</v>
      </c>
      <c r="Q72" s="22" t="s">
        <v>147</v>
      </c>
    </row>
    <row r="73" spans="16:17" x14ac:dyDescent="0.35">
      <c r="P73" s="22" t="s">
        <v>120</v>
      </c>
      <c r="Q73" s="22" t="s">
        <v>148</v>
      </c>
    </row>
    <row r="74" spans="16:17" x14ac:dyDescent="0.35">
      <c r="P74" s="22" t="s">
        <v>121</v>
      </c>
      <c r="Q74" s="22" t="s">
        <v>149</v>
      </c>
    </row>
    <row r="75" spans="16:17" x14ac:dyDescent="0.35">
      <c r="P75" s="22" t="s">
        <v>169</v>
      </c>
      <c r="Q75" s="22" t="s">
        <v>170</v>
      </c>
    </row>
    <row r="76" spans="16:17" x14ac:dyDescent="0.35">
      <c r="P76" s="22" t="s">
        <v>134</v>
      </c>
      <c r="Q76" s="22" t="s">
        <v>171</v>
      </c>
    </row>
  </sheetData>
  <sheetProtection algorithmName="SHA-512" hashValue="xmcJPYSPs4GVOQfOXtS0hwN/Uyou+SAWJCUQumkv3CXY91jKyxSHZrVWBATBZWvuxam2mjDY0b/OsKQ35tF4+g==" saltValue="CgrEL6oxeGcOGI4ac+k7Vw==" spinCount="100000" sheet="1" selectLockedCells="1"/>
  <mergeCells count="34">
    <mergeCell ref="B2:L2"/>
    <mergeCell ref="I4:L4"/>
    <mergeCell ref="B6:E6"/>
    <mergeCell ref="F6:G6"/>
    <mergeCell ref="I6:J7"/>
    <mergeCell ref="B7:E7"/>
    <mergeCell ref="F7:G7"/>
    <mergeCell ref="B4:G4"/>
    <mergeCell ref="B8:E8"/>
    <mergeCell ref="F8:G8"/>
    <mergeCell ref="B9:E9"/>
    <mergeCell ref="F9:G9"/>
    <mergeCell ref="B10:E10"/>
    <mergeCell ref="F10:G10"/>
    <mergeCell ref="B12:E12"/>
    <mergeCell ref="F12:G12"/>
    <mergeCell ref="B11:E11"/>
    <mergeCell ref="F11:G11"/>
    <mergeCell ref="B14:E14"/>
    <mergeCell ref="F14:G14"/>
    <mergeCell ref="K19:L19"/>
    <mergeCell ref="K20:L20"/>
    <mergeCell ref="K17:L17"/>
    <mergeCell ref="K18:L18"/>
    <mergeCell ref="B13:E13"/>
    <mergeCell ref="F13:G13"/>
    <mergeCell ref="C33:D33"/>
    <mergeCell ref="K27:L27"/>
    <mergeCell ref="K25:L25"/>
    <mergeCell ref="K26:L26"/>
    <mergeCell ref="K21:L21"/>
    <mergeCell ref="K22:L22"/>
    <mergeCell ref="K23:L23"/>
    <mergeCell ref="K24:L24"/>
  </mergeCells>
  <conditionalFormatting sqref="C31">
    <cfRule type="expression" dxfId="5" priority="4">
      <formula>$C$31=$P$17</formula>
    </cfRule>
    <cfRule type="expression" dxfId="4" priority="5">
      <formula>$C$31=$P$18</formula>
    </cfRule>
  </conditionalFormatting>
  <conditionalFormatting sqref="C33">
    <cfRule type="expression" dxfId="3" priority="6">
      <formula>$C$33=$P$21</formula>
    </cfRule>
  </conditionalFormatting>
  <dataValidations count="8">
    <dataValidation type="list" allowBlank="1" showInputMessage="1" showErrorMessage="1" sqref="F11:G11">
      <formula1>$P$63:$P$64</formula1>
    </dataValidation>
    <dataValidation type="list" allowBlank="1" showInputMessage="1" showErrorMessage="1" sqref="F13:G13">
      <formula1>$P$46:$P$48</formula1>
    </dataValidation>
    <dataValidation type="list" allowBlank="1" showInputMessage="1" showErrorMessage="1" sqref="C25:C29">
      <formula1>$P$11:$P$13</formula1>
    </dataValidation>
    <dataValidation type="list" operator="greaterThan" allowBlank="1" showInputMessage="1" showErrorMessage="1" sqref="F12">
      <formula1>$P$25:$P$29</formula1>
    </dataValidation>
    <dataValidation type="whole" allowBlank="1" showInputMessage="1" showErrorMessage="1" sqref="F10">
      <formula1>1</formula1>
      <formula2>5</formula2>
    </dataValidation>
    <dataValidation type="list" allowBlank="1" showInputMessage="1" showErrorMessage="1" sqref="F8:G8">
      <formula1>$P$3:$P$4</formula1>
    </dataValidation>
    <dataValidation type="list" allowBlank="1" showInputMessage="1" showErrorMessage="1" sqref="F14:G14">
      <formula1>$P$67:$P$68</formula1>
    </dataValidation>
    <dataValidation type="list" allowBlank="1" showInputMessage="1" showErrorMessage="1" sqref="F9:G9">
      <formula1>$P$55:$P$62</formula1>
    </dataValidation>
  </dataValidations>
  <hyperlinks>
    <hyperlink ref="L29" location="Contents!A1" display="Contents"/>
  </hyperlinks>
  <printOptions horizontalCentered="1"/>
  <pageMargins left="0.39370078740157483" right="0.39370078740157483" top="0.39370078740157483" bottom="0.39370078740157483" header="0" footer="0"/>
  <pageSetup paperSize="9" scale="6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5A604A02-6584-4F4C-AABA-0F172D69EE94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D31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B1:Q70"/>
  <sheetViews>
    <sheetView zoomScale="70" zoomScaleNormal="70" workbookViewId="0">
      <selection activeCell="F6" sqref="F6:G6"/>
    </sheetView>
  </sheetViews>
  <sheetFormatPr defaultColWidth="9.109375" defaultRowHeight="18" x14ac:dyDescent="0.35"/>
  <cols>
    <col min="1" max="1" width="3" style="22" customWidth="1"/>
    <col min="2" max="2" width="43.44140625" style="22" customWidth="1"/>
    <col min="3" max="3" width="41.6640625" style="22" customWidth="1"/>
    <col min="4" max="4" width="15.6640625" style="22" customWidth="1"/>
    <col min="5" max="7" width="14.6640625" style="64" customWidth="1"/>
    <col min="8" max="8" width="2.6640625" style="22" customWidth="1"/>
    <col min="9" max="9" width="68.109375" style="22" customWidth="1"/>
    <col min="10" max="10" width="17.109375" style="22" customWidth="1"/>
    <col min="11" max="11" width="16.6640625" style="22" customWidth="1"/>
    <col min="12" max="12" width="14.5546875" style="22" customWidth="1"/>
    <col min="13" max="13" width="15.109375" style="22" hidden="1" customWidth="1"/>
    <col min="14" max="14" width="13.33203125" style="22" hidden="1" customWidth="1"/>
    <col min="15" max="15" width="9.109375" style="22" hidden="1" customWidth="1"/>
    <col min="16" max="16" width="20.6640625" style="22" hidden="1" customWidth="1"/>
    <col min="17" max="17" width="34.6640625" style="22" hidden="1" customWidth="1"/>
    <col min="18" max="16384" width="9.109375" style="22"/>
  </cols>
  <sheetData>
    <row r="1" spans="2:16" x14ac:dyDescent="0.35">
      <c r="B1" s="21"/>
      <c r="C1" s="21"/>
      <c r="D1" s="21"/>
    </row>
    <row r="2" spans="2:16" s="23" customFormat="1" ht="27.6" customHeight="1" x14ac:dyDescent="0.3">
      <c r="B2" s="112" t="s">
        <v>42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2:16" s="24" customFormat="1" ht="20.100000000000001" customHeight="1" x14ac:dyDescent="0.35">
      <c r="B3" s="25"/>
      <c r="C3" s="25"/>
      <c r="D3" s="25"/>
      <c r="E3" s="25"/>
      <c r="F3" s="25"/>
      <c r="G3" s="25"/>
      <c r="I3" s="26"/>
      <c r="J3" s="26"/>
      <c r="K3" s="26"/>
      <c r="L3" s="26"/>
      <c r="P3" s="27" t="s">
        <v>1</v>
      </c>
    </row>
    <row r="4" spans="2:16" s="24" customFormat="1" ht="20.100000000000001" customHeight="1" x14ac:dyDescent="0.3">
      <c r="B4" s="117" t="s">
        <v>39</v>
      </c>
      <c r="C4" s="117"/>
      <c r="D4" s="117"/>
      <c r="E4" s="117"/>
      <c r="F4" s="117"/>
      <c r="G4" s="63"/>
      <c r="I4" s="117" t="s">
        <v>43</v>
      </c>
      <c r="J4" s="117"/>
      <c r="K4" s="117"/>
      <c r="L4" s="117"/>
      <c r="P4" s="27" t="s">
        <v>2</v>
      </c>
    </row>
    <row r="5" spans="2:16" s="23" customFormat="1" ht="20.100000000000001" customHeight="1" thickBot="1" x14ac:dyDescent="0.35">
      <c r="B5" s="28"/>
      <c r="C5" s="28"/>
      <c r="D5" s="28"/>
      <c r="E5" s="28"/>
      <c r="F5" s="28"/>
      <c r="G5" s="28"/>
      <c r="H5" s="24"/>
      <c r="I5" s="28"/>
      <c r="J5" s="28"/>
      <c r="K5" s="28"/>
      <c r="L5" s="28"/>
      <c r="P5" s="27" t="s">
        <v>3</v>
      </c>
    </row>
    <row r="6" spans="2:16" s="23" customFormat="1" ht="20.100000000000001" customHeight="1" x14ac:dyDescent="0.3">
      <c r="B6" s="150" t="s">
        <v>79</v>
      </c>
      <c r="C6" s="151"/>
      <c r="D6" s="151"/>
      <c r="E6" s="151"/>
      <c r="F6" s="126">
        <v>2600</v>
      </c>
      <c r="G6" s="127"/>
      <c r="I6" s="181" t="s">
        <v>44</v>
      </c>
      <c r="J6" s="182"/>
      <c r="K6" s="29" t="s">
        <v>45</v>
      </c>
      <c r="L6" s="88">
        <f>F6-35</f>
        <v>2565</v>
      </c>
      <c r="P6" s="27" t="s">
        <v>4</v>
      </c>
    </row>
    <row r="7" spans="2:16" s="23" customFormat="1" ht="20.100000000000001" customHeight="1" thickBot="1" x14ac:dyDescent="0.35">
      <c r="B7" s="152" t="s">
        <v>80</v>
      </c>
      <c r="C7" s="153"/>
      <c r="D7" s="153"/>
      <c r="E7" s="153"/>
      <c r="F7" s="128">
        <v>1400</v>
      </c>
      <c r="G7" s="129"/>
      <c r="I7" s="183"/>
      <c r="J7" s="184"/>
      <c r="K7" s="74" t="s">
        <v>46</v>
      </c>
      <c r="L7" s="89">
        <f>IF(F9=P55,Q55,IF(F9=P56,Q56,0))</f>
        <v>713</v>
      </c>
      <c r="P7" s="27" t="s">
        <v>5</v>
      </c>
    </row>
    <row r="8" spans="2:16" s="23" customFormat="1" ht="20.100000000000001" customHeight="1" thickBot="1" x14ac:dyDescent="0.35">
      <c r="B8" s="154" t="s">
        <v>81</v>
      </c>
      <c r="C8" s="155"/>
      <c r="D8" s="155"/>
      <c r="E8" s="155"/>
      <c r="F8" s="130" t="s">
        <v>1</v>
      </c>
      <c r="G8" s="131"/>
      <c r="I8" s="30"/>
      <c r="J8" s="30"/>
      <c r="K8" s="31"/>
      <c r="L8" s="1"/>
    </row>
    <row r="9" spans="2:16" s="23" customFormat="1" ht="20.100000000000001" customHeight="1" x14ac:dyDescent="0.3">
      <c r="B9" s="158" t="s">
        <v>122</v>
      </c>
      <c r="C9" s="159"/>
      <c r="D9" s="159"/>
      <c r="E9" s="159"/>
      <c r="F9" s="156" t="s">
        <v>12</v>
      </c>
      <c r="G9" s="157"/>
      <c r="I9" s="75" t="s">
        <v>47</v>
      </c>
      <c r="J9" s="76" t="s">
        <v>48</v>
      </c>
      <c r="K9" s="77" t="s">
        <v>49</v>
      </c>
      <c r="L9" s="78" t="s">
        <v>50</v>
      </c>
      <c r="M9" s="50"/>
    </row>
    <row r="10" spans="2:16" s="23" customFormat="1" ht="20.100000000000001" customHeight="1" x14ac:dyDescent="0.35">
      <c r="B10" s="154" t="s">
        <v>82</v>
      </c>
      <c r="C10" s="155"/>
      <c r="D10" s="155"/>
      <c r="E10" s="155"/>
      <c r="F10" s="132">
        <f>IF(F8=P3,2,IF(F8=P4,3,IF(F8=P5,4,IF(F8=P6,4,IF(F8=P7,5)))))</f>
        <v>2</v>
      </c>
      <c r="G10" s="133"/>
      <c r="I10" s="95" t="s">
        <v>63</v>
      </c>
      <c r="J10" s="58" t="s">
        <v>31</v>
      </c>
      <c r="K10" s="85">
        <f>F7-2</f>
        <v>1398</v>
      </c>
      <c r="L10" s="60">
        <v>1</v>
      </c>
      <c r="M10" s="22"/>
    </row>
    <row r="11" spans="2:16" s="23" customFormat="1" ht="20.100000000000001" customHeight="1" x14ac:dyDescent="0.35">
      <c r="B11" s="154" t="s">
        <v>83</v>
      </c>
      <c r="C11" s="155"/>
      <c r="D11" s="155"/>
      <c r="E11" s="155"/>
      <c r="F11" s="132">
        <f>IF(F8=P3,1,IF(F8=P4,2,IF(F8=P5,3,IF(F8=P6,2,IF(F8=P7,4)))))</f>
        <v>1</v>
      </c>
      <c r="G11" s="133"/>
      <c r="I11" s="95" t="s">
        <v>64</v>
      </c>
      <c r="J11" s="58" t="s">
        <v>32</v>
      </c>
      <c r="K11" s="85">
        <f>F7-2</f>
        <v>1398</v>
      </c>
      <c r="L11" s="60">
        <v>1</v>
      </c>
      <c r="M11" s="22"/>
      <c r="P11" s="16" t="s">
        <v>87</v>
      </c>
    </row>
    <row r="12" spans="2:16" s="23" customFormat="1" ht="20.100000000000001" customHeight="1" x14ac:dyDescent="0.35">
      <c r="B12" s="158" t="s">
        <v>102</v>
      </c>
      <c r="C12" s="159"/>
      <c r="D12" s="159"/>
      <c r="E12" s="159"/>
      <c r="F12" s="156" t="s">
        <v>93</v>
      </c>
      <c r="G12" s="157"/>
      <c r="I12" s="93" t="str">
        <f>IF(F9=P55,P69,P70)</f>
        <v>Stile C</v>
      </c>
      <c r="J12" s="32" t="str">
        <f>IF(F9=P55,Q69,Q70)</f>
        <v>CKRU0453</v>
      </c>
      <c r="K12" s="86">
        <f>$L$6</f>
        <v>2565</v>
      </c>
      <c r="L12" s="2">
        <f>IF(K12&gt;0,$F$10*2,0)</f>
        <v>4</v>
      </c>
      <c r="M12" s="22">
        <v>0.38500000000000001</v>
      </c>
      <c r="N12" s="69">
        <f>IF(I12=P69,M12*K12*L12/1000,0)</f>
        <v>3.9500999999999999</v>
      </c>
      <c r="P12" s="16" t="s">
        <v>88</v>
      </c>
    </row>
    <row r="13" spans="2:16" s="23" customFormat="1" ht="20.100000000000001" customHeight="1" x14ac:dyDescent="0.35">
      <c r="B13" s="160" t="s">
        <v>84</v>
      </c>
      <c r="C13" s="161"/>
      <c r="D13" s="161"/>
      <c r="E13" s="161"/>
      <c r="F13" s="134">
        <v>0</v>
      </c>
      <c r="G13" s="135"/>
      <c r="I13" s="62" t="s">
        <v>65</v>
      </c>
      <c r="J13" s="32" t="s">
        <v>35</v>
      </c>
      <c r="K13" s="86">
        <f>IF(OR(F9=P55,F9=P58,F9=P59,F9=P60),L7-51,IF(F9=P56,L7-68,L7-76))</f>
        <v>662</v>
      </c>
      <c r="L13" s="2">
        <f>F10</f>
        <v>2</v>
      </c>
      <c r="M13" s="22">
        <v>0.47199999999999998</v>
      </c>
      <c r="N13" s="69">
        <f>IF(I12=P70,M12*K12*L12/1000,0)</f>
        <v>0</v>
      </c>
      <c r="P13" s="16" t="s">
        <v>89</v>
      </c>
    </row>
    <row r="14" spans="2:16" s="23" customFormat="1" ht="20.100000000000001" customHeight="1" x14ac:dyDescent="0.35">
      <c r="B14" s="158" t="s">
        <v>85</v>
      </c>
      <c r="C14" s="159"/>
      <c r="D14" s="159"/>
      <c r="E14" s="159"/>
      <c r="F14" s="156" t="s">
        <v>98</v>
      </c>
      <c r="G14" s="157"/>
      <c r="I14" s="62" t="s">
        <v>66</v>
      </c>
      <c r="J14" s="32" t="s">
        <v>36</v>
      </c>
      <c r="K14" s="86">
        <f>K13</f>
        <v>662</v>
      </c>
      <c r="L14" s="2">
        <f>F10</f>
        <v>2</v>
      </c>
      <c r="M14" s="22">
        <v>0.22800000000000001</v>
      </c>
      <c r="N14" s="23">
        <f>M14*K13*L13/1000</f>
        <v>0.30187200000000003</v>
      </c>
    </row>
    <row r="15" spans="2:16" s="23" customFormat="1" ht="20.100000000000001" customHeight="1" thickBot="1" x14ac:dyDescent="0.4">
      <c r="B15" s="177" t="s">
        <v>86</v>
      </c>
      <c r="C15" s="178"/>
      <c r="D15" s="178"/>
      <c r="E15" s="178"/>
      <c r="F15" s="185" t="s">
        <v>96</v>
      </c>
      <c r="G15" s="186"/>
      <c r="I15" s="62" t="s">
        <v>67</v>
      </c>
      <c r="J15" s="32" t="s">
        <v>37</v>
      </c>
      <c r="K15" s="86">
        <f>K13</f>
        <v>662</v>
      </c>
      <c r="L15" s="2">
        <f>IF(F12=P63,F10*F13,0)</f>
        <v>0</v>
      </c>
      <c r="M15" s="22">
        <v>0.42299999999999999</v>
      </c>
      <c r="N15" s="23">
        <f>M15*K14*L14/1000</f>
        <v>0.56005199999999999</v>
      </c>
    </row>
    <row r="16" spans="2:16" s="23" customFormat="1" ht="20.100000000000001" customHeight="1" thickBot="1" x14ac:dyDescent="0.35">
      <c r="I16" s="73" t="s">
        <v>68</v>
      </c>
      <c r="J16" s="34" t="s">
        <v>38</v>
      </c>
      <c r="K16" s="87">
        <f>K13</f>
        <v>662</v>
      </c>
      <c r="L16" s="3">
        <f>IF(F12=P64,F10*F13,0)</f>
        <v>0</v>
      </c>
      <c r="M16" s="23">
        <v>0.216</v>
      </c>
      <c r="N16" s="23">
        <f>M16*K15*L15/1000</f>
        <v>0</v>
      </c>
    </row>
    <row r="17" spans="2:16" s="23" customFormat="1" ht="20.100000000000001" customHeight="1" thickBot="1" x14ac:dyDescent="0.35">
      <c r="B17" s="23" t="s">
        <v>131</v>
      </c>
      <c r="M17" s="23">
        <v>0.13700000000000001</v>
      </c>
      <c r="N17" s="23">
        <f>M17*K16*L16/1000</f>
        <v>0</v>
      </c>
      <c r="P17" s="96" t="s">
        <v>90</v>
      </c>
    </row>
    <row r="18" spans="2:16" s="23" customFormat="1" ht="20.100000000000001" customHeight="1" thickBot="1" x14ac:dyDescent="0.35">
      <c r="I18" s="79" t="s">
        <v>51</v>
      </c>
      <c r="J18" s="76" t="s">
        <v>48</v>
      </c>
      <c r="K18" s="172" t="s">
        <v>50</v>
      </c>
      <c r="L18" s="173"/>
      <c r="N18" s="35">
        <f>SUM(N12:N17)/F10</f>
        <v>2.406012</v>
      </c>
      <c r="P18" s="96" t="s">
        <v>91</v>
      </c>
    </row>
    <row r="19" spans="2:16" s="23" customFormat="1" ht="20.100000000000001" customHeight="1" x14ac:dyDescent="0.3">
      <c r="B19" s="23" t="s">
        <v>61</v>
      </c>
      <c r="I19" s="62" t="s">
        <v>69</v>
      </c>
      <c r="J19" s="36" t="s">
        <v>30</v>
      </c>
      <c r="K19" s="187">
        <f>IF(F9=P55,F10,0)</f>
        <v>2</v>
      </c>
      <c r="L19" s="188"/>
    </row>
    <row r="20" spans="2:16" s="23" customFormat="1" ht="20.100000000000001" customHeight="1" thickBot="1" x14ac:dyDescent="0.35">
      <c r="I20" s="73" t="s">
        <v>69</v>
      </c>
      <c r="J20" s="36" t="s">
        <v>22</v>
      </c>
      <c r="K20" s="187">
        <f>IF(F9=P56,F10,0)</f>
        <v>0</v>
      </c>
      <c r="L20" s="188"/>
    </row>
    <row r="21" spans="2:16" s="23" customFormat="1" ht="20.100000000000001" customHeight="1" thickBot="1" x14ac:dyDescent="0.4">
      <c r="B21" s="38" t="s">
        <v>59</v>
      </c>
      <c r="C21" s="39">
        <f>F13+1</f>
        <v>1</v>
      </c>
      <c r="D21" s="52"/>
      <c r="F21" s="37"/>
      <c r="G21" s="37"/>
      <c r="I21" s="62" t="s">
        <v>70</v>
      </c>
      <c r="J21" s="20" t="s">
        <v>72</v>
      </c>
      <c r="K21" s="142">
        <f>ROUNDUP((IF(C25=P12,(E25+F25)*2*G25,0)
+IF(C26=P12,(E26+F26)*2*G26,0)
+IF(C27=P12,(E27+F27)*2*G27,0)
+IF(C28=P12,(E28+F28)*2*G28,0)
+IF(C29=P12,(E29+F29)*2*G29,0))/1000,0)</f>
        <v>0</v>
      </c>
      <c r="L21" s="143"/>
      <c r="P21" s="97" t="s">
        <v>92</v>
      </c>
    </row>
    <row r="22" spans="2:16" s="23" customFormat="1" ht="20.100000000000001" customHeight="1" x14ac:dyDescent="0.35">
      <c r="I22" s="73" t="s">
        <v>71</v>
      </c>
      <c r="J22" s="20" t="s">
        <v>73</v>
      </c>
      <c r="K22" s="142">
        <f>ROUNDUP((IF(C25=P13,(E25+F25)*2*G25,0)
+IF(C26=P13,(E26+F26)*2*G26,0)
+IF(C27=P13,(E27+F27)*2*G27,0)
+IF(C28=P13,(E28+F28)*2*G28,0)
+IF(C29=P13,(E29+F29)*2*G29,0))/1000,0)</f>
        <v>0</v>
      </c>
      <c r="L22" s="143"/>
      <c r="P22" s="22" t="s">
        <v>0</v>
      </c>
    </row>
    <row r="23" spans="2:16" s="23" customFormat="1" ht="20.100000000000001" customHeight="1" thickBot="1" x14ac:dyDescent="0.35">
      <c r="I23" s="62" t="s">
        <v>74</v>
      </c>
      <c r="J23" s="36" t="s">
        <v>8</v>
      </c>
      <c r="K23" s="113">
        <f>IF(F14=P42,F10*2,0)</f>
        <v>0</v>
      </c>
      <c r="L23" s="144"/>
    </row>
    <row r="24" spans="2:16" s="23" customFormat="1" ht="20.100000000000001" customHeight="1" x14ac:dyDescent="0.35">
      <c r="B24" s="91" t="s">
        <v>52</v>
      </c>
      <c r="C24" s="92" t="s">
        <v>53</v>
      </c>
      <c r="D24" s="102"/>
      <c r="E24" s="92" t="s">
        <v>45</v>
      </c>
      <c r="F24" s="92" t="s">
        <v>46</v>
      </c>
      <c r="G24" s="40" t="s">
        <v>50</v>
      </c>
      <c r="I24" s="44" t="s">
        <v>75</v>
      </c>
      <c r="J24" s="45" t="s">
        <v>9</v>
      </c>
      <c r="K24" s="145">
        <f>IF(F15=P46,L13*2+L14*2+L15*2+L16*2,0)</f>
        <v>8</v>
      </c>
      <c r="L24" s="146"/>
    </row>
    <row r="25" spans="2:16" s="23" customFormat="1" ht="20.100000000000001" customHeight="1" x14ac:dyDescent="0.3">
      <c r="B25" s="93" t="s">
        <v>54</v>
      </c>
      <c r="C25" s="14" t="s">
        <v>87</v>
      </c>
      <c r="D25" s="104">
        <f>E25/$N$42</f>
        <v>1</v>
      </c>
      <c r="E25" s="80">
        <f>ROUNDDOWN(L6-IF(E29=0,0,IF(C29=P11,E29,IF(C29=P12,E29+2,E29+3)))-
IF(E28=0,0,IF(C28=P11,E28,IF(C28=P12,E28+2,E28+3)))-
IF(E27=0,0,IF(C27=P11,E27,IF(C27=P12,E27+2,E27+3)))-
IF(E26=0,0,IF(C26=P11,E26,IF(C26=P12,E26+2,E26+3)))-59-
IF(C25=P12,2,IF(C25=P13,3,0))-F13*IF(F12=P63,9,1.4),0)</f>
        <v>2506</v>
      </c>
      <c r="F25" s="109">
        <f>IF(AND(C25=P11,F9=P55),L7-36,IF(AND(C25=P11,F9=P56),L7-54,
IF(AND(C25=P12,F9=P55),L7-36-2,IF(AND(C25=P12,F9=P56),L7-54-2,
IF(AND(C25=P13,F9=P55),L7-36-3,IF(AND(C25=P13,F9=P56),L7-54-3,0))))))</f>
        <v>677</v>
      </c>
      <c r="G25" s="83">
        <f>$F$10</f>
        <v>2</v>
      </c>
      <c r="H25" s="43">
        <f>IF(E25&lt;&gt;0,1,0)</f>
        <v>1</v>
      </c>
      <c r="I25" s="46" t="s">
        <v>76</v>
      </c>
      <c r="J25" s="17" t="s">
        <v>10</v>
      </c>
      <c r="K25" s="115">
        <f>IF(F15=P47,ROUNDUP(L12*L6/1000,0),0)</f>
        <v>0</v>
      </c>
      <c r="L25" s="147"/>
      <c r="P25" s="98">
        <v>0</v>
      </c>
    </row>
    <row r="26" spans="2:16" s="23" customFormat="1" ht="20.100000000000001" customHeight="1" x14ac:dyDescent="0.3">
      <c r="B26" s="93" t="s">
        <v>55</v>
      </c>
      <c r="C26" s="14" t="s">
        <v>87</v>
      </c>
      <c r="D26" s="104">
        <f t="shared" ref="D26:D29" si="0">E26/$N$42</f>
        <v>0</v>
      </c>
      <c r="E26" s="81">
        <v>0</v>
      </c>
      <c r="F26" s="109">
        <f>IF(AND(C26=P11,F9=P55),L7-36,IF(AND(C26=P11,F9=P56),L7-54,
IF(AND(C26=P12,F9=P55),L7-36-2,IF(AND(C26=P12,F9=P56),L7-54-2,
IF(AND(C26=P13,F9=P55),L7-36-3,IF(AND(C26=P13,F9=P56),L7-54-3,0))))))</f>
        <v>677</v>
      </c>
      <c r="G26" s="83">
        <f>IF(E26&lt;&gt;0,$F$10,0)</f>
        <v>0</v>
      </c>
      <c r="H26" s="43">
        <f>IF(E26&lt;&gt;0,1,0)</f>
        <v>0</v>
      </c>
      <c r="I26" s="62" t="s">
        <v>77</v>
      </c>
      <c r="J26" s="36" t="s">
        <v>7</v>
      </c>
      <c r="K26" s="113">
        <f>IF(K25&gt;0,L12*2,0)</f>
        <v>0</v>
      </c>
      <c r="L26" s="144"/>
      <c r="P26" s="99">
        <v>1</v>
      </c>
    </row>
    <row r="27" spans="2:16" s="23" customFormat="1" ht="20.100000000000001" customHeight="1" thickBot="1" x14ac:dyDescent="0.35">
      <c r="B27" s="93" t="s">
        <v>56</v>
      </c>
      <c r="C27" s="14" t="s">
        <v>87</v>
      </c>
      <c r="D27" s="104">
        <f t="shared" si="0"/>
        <v>0</v>
      </c>
      <c r="E27" s="81">
        <v>0</v>
      </c>
      <c r="F27" s="109">
        <f>IF(AND(C27=P11,F9=P55),L7-36,IF(AND(C27=P11,F9=P56),L7-54,
IF(AND(C27=P12,F9=P55),L7-36-2,IF(AND(C27=P12,F9=P56),L7-54-2,
IF(AND(C27=P13,F9=P55),L7-36-3,IF(AND(C27=P13,F9=P56),L7-54-3,0))))))</f>
        <v>677</v>
      </c>
      <c r="G27" s="83">
        <f>IF(E27&lt;&gt;0,$F$10,0)</f>
        <v>0</v>
      </c>
      <c r="H27" s="43">
        <f>IF(E27&lt;&gt;0,1,0)</f>
        <v>0</v>
      </c>
      <c r="I27" s="33" t="s">
        <v>78</v>
      </c>
      <c r="J27" s="48" t="s">
        <v>6</v>
      </c>
      <c r="K27" s="138">
        <f>L15*2</f>
        <v>0</v>
      </c>
      <c r="L27" s="139"/>
      <c r="P27" s="98">
        <v>2</v>
      </c>
    </row>
    <row r="28" spans="2:16" s="23" customFormat="1" ht="20.100000000000001" customHeight="1" x14ac:dyDescent="0.3">
      <c r="B28" s="93" t="s">
        <v>57</v>
      </c>
      <c r="C28" s="14" t="s">
        <v>87</v>
      </c>
      <c r="D28" s="104">
        <f t="shared" si="0"/>
        <v>0</v>
      </c>
      <c r="E28" s="81">
        <v>0</v>
      </c>
      <c r="F28" s="109">
        <f>IF(AND(C28=P11,F9=P55),L7-36,IF(AND(C28=P11,F9=P56),L7-54,
IF(AND(C28=P12,F9=P55),L7-36-2,IF(AND(C28=P12,F9=P56),L7-54-2,
IF(AND(C28=P13,F9=P55),L7-36-3,IF(AND(C28=P13,F9=P56),L7-54-3,0))))))</f>
        <v>677</v>
      </c>
      <c r="G28" s="83">
        <f>IF(E28&lt;&gt;0,$F$10,0)</f>
        <v>0</v>
      </c>
      <c r="H28" s="43">
        <f>IF(E28&lt;&gt;0,1,0)</f>
        <v>0</v>
      </c>
      <c r="N28" s="53"/>
      <c r="P28" s="98">
        <v>3</v>
      </c>
    </row>
    <row r="29" spans="2:16" s="23" customFormat="1" ht="20.100000000000001" customHeight="1" thickBot="1" x14ac:dyDescent="0.4">
      <c r="B29" s="94" t="s">
        <v>58</v>
      </c>
      <c r="C29" s="15" t="s">
        <v>87</v>
      </c>
      <c r="D29" s="105">
        <f t="shared" si="0"/>
        <v>0</v>
      </c>
      <c r="E29" s="82">
        <v>0</v>
      </c>
      <c r="F29" s="110">
        <f>IF(AND(C29=P11,F9=P55),L7-36,IF(AND(C29=P11,F9=P56),L7-54,
IF(AND(C29=P12,F9=P55),L7-36-2,IF(AND(C29=P12,F9=P56),L7-54-2,
IF(AND(C29=P13,F9=P55),L7-36-3,IF(AND(C29=P13,F9=P56),L7-54-3,0))))))</f>
        <v>677</v>
      </c>
      <c r="G29" s="84">
        <f>IF(E29&lt;&gt;0,$F$10,0)</f>
        <v>0</v>
      </c>
      <c r="H29" s="43">
        <f>IF(E29&lt;&gt;0,1,0)</f>
        <v>0</v>
      </c>
      <c r="I29" s="22"/>
      <c r="J29" s="22"/>
      <c r="K29" s="22"/>
      <c r="L29" s="57" t="s">
        <v>62</v>
      </c>
      <c r="M29" s="54"/>
      <c r="P29" s="98">
        <v>4</v>
      </c>
    </row>
    <row r="30" spans="2:16" ht="20.100000000000001" customHeight="1" thickBot="1" x14ac:dyDescent="0.4">
      <c r="B30" s="23"/>
      <c r="C30" s="23"/>
      <c r="D30" s="23"/>
      <c r="E30" s="23"/>
      <c r="F30" s="23"/>
      <c r="G30" s="23"/>
      <c r="H30" s="23"/>
      <c r="M30" s="55"/>
    </row>
    <row r="31" spans="2:16" ht="20.100000000000001" customHeight="1" thickBot="1" x14ac:dyDescent="0.4">
      <c r="B31" s="23"/>
      <c r="C31" s="20" t="str">
        <f>IF((SUM(H25:H29)/C21)&lt;&gt;1,P17,P18)</f>
        <v>Correct insert heights</v>
      </c>
      <c r="D31" s="64">
        <f>IF(C31=P18,1,0)</f>
        <v>1</v>
      </c>
      <c r="F31" s="49" t="s">
        <v>60</v>
      </c>
      <c r="G31" s="90">
        <f>ROUNDUP(N38,0)</f>
        <v>17</v>
      </c>
      <c r="H31" s="23"/>
      <c r="N31" s="23">
        <f>IF(C25=$P$11,((E25*F25*G25/$F$10)/1000000)*8,IF(C25=$P$12,((E25*F25*G25/$F$10)/1000000)*6.5,((E25*F25*G25/$F$10)/1000000)*11))</f>
        <v>13.572495999999999</v>
      </c>
    </row>
    <row r="32" spans="2:16" ht="21" customHeight="1" x14ac:dyDescent="0.35">
      <c r="B32" s="23"/>
      <c r="C32" s="23"/>
      <c r="D32" s="23"/>
      <c r="E32" s="23"/>
      <c r="F32" s="23"/>
      <c r="G32" s="23"/>
      <c r="H32" s="23"/>
      <c r="N32" s="23">
        <f>IF(C26=$P$11,((E26*F26*G26/$F$10)/1000000)*8,IF(C26=$P$12,((E26*F26*G26/$F$10)/1000000)*6.5,((E26*F26*G26/$F$10)/1000000)*11))</f>
        <v>0</v>
      </c>
    </row>
    <row r="33" spans="2:16" ht="20.100000000000001" customHeight="1" x14ac:dyDescent="0.35">
      <c r="B33" s="23"/>
      <c r="C33" s="162" t="str">
        <f>IF(AND(SUM(H25:H29)/C21=1,E29=0,C21&lt;&gt;1),P21,P22)</f>
        <v xml:space="preserve"> </v>
      </c>
      <c r="D33" s="162"/>
      <c r="E33" s="23"/>
      <c r="F33" s="23"/>
      <c r="G33" s="23"/>
      <c r="H33" s="23"/>
      <c r="N33" s="23">
        <f>IF(C27=$P$11,((E27*F27*G27/$F$10)/1000000)*8,IF(C27=$P$12,((E27*F27*G27/$F$10)/1000000)*6.5,((E27*F27*G27/$F$10)/1000000)*11))</f>
        <v>0</v>
      </c>
      <c r="P33" s="16" t="s">
        <v>87</v>
      </c>
    </row>
    <row r="34" spans="2:16" ht="20.100000000000001" customHeight="1" x14ac:dyDescent="0.35">
      <c r="B34" s="23"/>
      <c r="C34" s="23"/>
      <c r="D34" s="23"/>
      <c r="E34" s="23"/>
      <c r="H34" s="23"/>
      <c r="N34" s="23">
        <f>IF(C28=$P$11,((E28*F28*G28/$F$10)/1000000)*8,IF(C28=$P$12,((E28*F28*G28/$F$10)/1000000)*6.5,((E28*F28*G28/$F$10)/1000000)*11))</f>
        <v>0</v>
      </c>
      <c r="P34" s="16" t="s">
        <v>89</v>
      </c>
    </row>
    <row r="35" spans="2:16" ht="20.100000000000001" customHeight="1" thickBot="1" x14ac:dyDescent="0.4">
      <c r="B35" s="23"/>
      <c r="E35" s="47"/>
      <c r="H35" s="23"/>
      <c r="N35" s="23">
        <f>IF(C29=$P$11,((E29*F29*G29/$F$10)/1000000)*8,IF(C29=$P$12,((E29*F29*G29/$F$10)/1000000)*6.5,((E29*F29*G29/$F$10)/1000000)*11))</f>
        <v>0</v>
      </c>
    </row>
    <row r="36" spans="2:16" ht="20.100000000000001" customHeight="1" thickBot="1" x14ac:dyDescent="0.4">
      <c r="B36" s="23"/>
      <c r="C36" s="23"/>
      <c r="D36" s="23"/>
      <c r="E36" s="23"/>
      <c r="F36" s="22"/>
      <c r="G36" s="22"/>
      <c r="H36" s="23"/>
      <c r="N36" s="35">
        <f>SUM(N31:N35)</f>
        <v>13.572495999999999</v>
      </c>
      <c r="P36" s="22" t="s">
        <v>97</v>
      </c>
    </row>
    <row r="37" spans="2:16" ht="18.600000000000001" thickBot="1" x14ac:dyDescent="0.4">
      <c r="B37" s="23"/>
      <c r="F37" s="23"/>
      <c r="G37" s="23"/>
      <c r="H37" s="23"/>
      <c r="N37" s="23"/>
      <c r="P37" s="23" t="s">
        <v>98</v>
      </c>
    </row>
    <row r="38" spans="2:16" ht="18.600000000000001" thickBot="1" x14ac:dyDescent="0.4">
      <c r="H38" s="23"/>
      <c r="M38" s="41" t="s">
        <v>11</v>
      </c>
      <c r="N38" s="42">
        <f>(N36+N18)*1.05</f>
        <v>16.7774334</v>
      </c>
    </row>
    <row r="39" spans="2:16" x14ac:dyDescent="0.35">
      <c r="E39" s="22"/>
      <c r="F39" s="22"/>
      <c r="G39" s="22"/>
      <c r="H39" s="23"/>
    </row>
    <row r="40" spans="2:16" x14ac:dyDescent="0.35">
      <c r="H40" s="23"/>
    </row>
    <row r="41" spans="2:16" x14ac:dyDescent="0.35">
      <c r="H41" s="23"/>
      <c r="P41" s="22" t="s">
        <v>98</v>
      </c>
    </row>
    <row r="42" spans="2:16" x14ac:dyDescent="0.35">
      <c r="H42" s="23"/>
      <c r="N42" s="103">
        <f>SUM(E25:E29)</f>
        <v>2506</v>
      </c>
      <c r="P42" s="22" t="s">
        <v>99</v>
      </c>
    </row>
    <row r="46" spans="2:16" x14ac:dyDescent="0.35">
      <c r="P46" s="18" t="s">
        <v>96</v>
      </c>
    </row>
    <row r="47" spans="2:16" x14ac:dyDescent="0.35">
      <c r="P47" s="19" t="s">
        <v>76</v>
      </c>
    </row>
    <row r="48" spans="2:16" x14ac:dyDescent="0.35">
      <c r="P48" s="18"/>
    </row>
    <row r="50" spans="16:17" x14ac:dyDescent="0.35">
      <c r="P50" s="22" t="s">
        <v>95</v>
      </c>
    </row>
    <row r="51" spans="16:17" x14ac:dyDescent="0.35">
      <c r="P51" s="22" t="s">
        <v>0</v>
      </c>
    </row>
    <row r="55" spans="16:17" x14ac:dyDescent="0.35">
      <c r="P55" s="22" t="s">
        <v>12</v>
      </c>
      <c r="Q55" s="22">
        <f>ROUNDUP(IF(AND(OR(F15=P48,F15=P47),F8=P6),(F7-20+F11*25)/F10,
IF(AND(OR(F15=P48,F15=P47),F8&lt;&gt;P6),(F7-10+F11*25)/F10,(F7+F11*25)/F10)),0)</f>
        <v>713</v>
      </c>
    </row>
    <row r="56" spans="16:17" x14ac:dyDescent="0.35">
      <c r="P56" s="22" t="s">
        <v>13</v>
      </c>
      <c r="Q56" s="22">
        <f>ROUNDUP(IF(AND(OR(F15=P48,F15=P47),F8=P6),(F7-20+F11*35)/F10,
IF(AND(OR(F15=P48,F15=P47),F8&lt;&gt;P6),(F7-10+F11*35)/F10,(F7+F11*35)/F10)),0)</f>
        <v>718</v>
      </c>
    </row>
    <row r="63" spans="16:17" x14ac:dyDescent="0.35">
      <c r="P63" s="22" t="s">
        <v>93</v>
      </c>
    </row>
    <row r="64" spans="16:17" x14ac:dyDescent="0.35">
      <c r="P64" s="22" t="s">
        <v>94</v>
      </c>
    </row>
    <row r="69" spans="16:17" x14ac:dyDescent="0.35">
      <c r="P69" s="68" t="s">
        <v>100</v>
      </c>
      <c r="Q69" s="32" t="s">
        <v>33</v>
      </c>
    </row>
    <row r="70" spans="16:17" x14ac:dyDescent="0.35">
      <c r="P70" s="73" t="s">
        <v>101</v>
      </c>
      <c r="Q70" s="32" t="s">
        <v>34</v>
      </c>
    </row>
  </sheetData>
  <sheetProtection algorithmName="SHA-512" hashValue="+q/IB4W1kF5wvnaMLPAc+SodlFMXCaqBwew2+hsBUdL1k8ZDW/LmO0+8o4j9Z7jWC/6fZY6yO1KYxwhaMlC0TA==" saltValue="FT7lYRK/XGJlvskf1e5z1A==" spinCount="100000" sheet="1" selectLockedCells="1"/>
  <mergeCells count="35">
    <mergeCell ref="C33:D33"/>
    <mergeCell ref="K20:L20"/>
    <mergeCell ref="K21:L21"/>
    <mergeCell ref="K22:L22"/>
    <mergeCell ref="K18:L18"/>
    <mergeCell ref="K19:L19"/>
    <mergeCell ref="K27:L27"/>
    <mergeCell ref="K23:L23"/>
    <mergeCell ref="K24:L24"/>
    <mergeCell ref="K25:L25"/>
    <mergeCell ref="K26:L26"/>
    <mergeCell ref="B15:E15"/>
    <mergeCell ref="F15:G15"/>
    <mergeCell ref="B13:E13"/>
    <mergeCell ref="F13:G13"/>
    <mergeCell ref="B14:E14"/>
    <mergeCell ref="F14:G14"/>
    <mergeCell ref="B11:E11"/>
    <mergeCell ref="F11:G11"/>
    <mergeCell ref="B12:E12"/>
    <mergeCell ref="F12:G12"/>
    <mergeCell ref="B8:E8"/>
    <mergeCell ref="F8:G8"/>
    <mergeCell ref="B9:E9"/>
    <mergeCell ref="F9:G9"/>
    <mergeCell ref="B10:E10"/>
    <mergeCell ref="F10:G10"/>
    <mergeCell ref="B2:L2"/>
    <mergeCell ref="B4:F4"/>
    <mergeCell ref="I4:L4"/>
    <mergeCell ref="B6:E6"/>
    <mergeCell ref="F6:G6"/>
    <mergeCell ref="I6:J7"/>
    <mergeCell ref="B7:E7"/>
    <mergeCell ref="F7:G7"/>
  </mergeCells>
  <conditionalFormatting sqref="C31">
    <cfRule type="expression" dxfId="2" priority="4">
      <formula>$C$31=$P$17</formula>
    </cfRule>
    <cfRule type="expression" dxfId="1" priority="5">
      <formula>$C$31=$P$18</formula>
    </cfRule>
  </conditionalFormatting>
  <conditionalFormatting sqref="C33">
    <cfRule type="expression" dxfId="0" priority="6">
      <formula>$C$33=$P$21</formula>
    </cfRule>
  </conditionalFormatting>
  <dataValidations count="9">
    <dataValidation type="list" allowBlank="1" showInputMessage="1" showErrorMessage="1" sqref="F12:G12">
      <formula1>$P$63:$P$64</formula1>
    </dataValidation>
    <dataValidation type="list" allowBlank="1" showInputMessage="1" showErrorMessage="1" sqref="F9:G9">
      <formula1>$P$55:$P$56</formula1>
    </dataValidation>
    <dataValidation type="list" allowBlank="1" showInputMessage="1" showErrorMessage="1" sqref="F15:G15">
      <formula1>$P$46:$P$47</formula1>
    </dataValidation>
    <dataValidation type="list" allowBlank="1" showInputMessage="1" showErrorMessage="1" sqref="C25:C29">
      <formula1>$P$11:$P$13</formula1>
    </dataValidation>
    <dataValidation type="list" allowBlank="1" showInputMessage="1" showErrorMessage="1" sqref="F8">
      <formula1>$P$3:$P$7</formula1>
    </dataValidation>
    <dataValidation type="list" operator="greaterThan" allowBlank="1" showInputMessage="1" showErrorMessage="1" sqref="F13">
      <formula1>$P$25:$P$29</formula1>
    </dataValidation>
    <dataValidation type="whole" allowBlank="1" showInputMessage="1" showErrorMessage="1" sqref="F10">
      <formula1>1</formula1>
      <formula2>5</formula2>
    </dataValidation>
    <dataValidation type="whole" allowBlank="1" showInputMessage="1" showErrorMessage="1" sqref="F11">
      <formula1>1</formula1>
      <formula2>4</formula2>
    </dataValidation>
    <dataValidation type="list" allowBlank="1" showInputMessage="1" showErrorMessage="1" sqref="F14:G14">
      <formula1>$P$41:$P$42</formula1>
    </dataValidation>
  </dataValidations>
  <hyperlinks>
    <hyperlink ref="L29" location="Contents!A1" display="Contents"/>
  </hyperlinks>
  <printOptions horizontalCentered="1"/>
  <pageMargins left="0.39370078740157483" right="0.39370078740157483" top="0.39370078740157483" bottom="0.39370078740157483" header="0" footer="0"/>
  <pageSetup paperSize="9" scale="6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AE9DC93A-0282-4346-9D30-273E8D9CDC61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Contents</vt:lpstr>
      <vt:lpstr>Standard Sliding Doors</vt:lpstr>
      <vt:lpstr>Standard Pivot Doors</vt:lpstr>
      <vt:lpstr>Eco Sliding Doors</vt:lpstr>
      <vt:lpstr>'Eco Sliding Doors'!Print_Area</vt:lpstr>
      <vt:lpstr>'Standard Pivot Doors'!Print_Area</vt:lpstr>
      <vt:lpstr>'Standard Sliding Doors'!Print_Area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2021-07-15T08:44:38Z</dcterms:modified>
</cp:coreProperties>
</file>