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475" windowHeight="7590" tabRatio="874"/>
  </bookViews>
  <sheets>
    <sheet name="Contents" sheetId="6" r:id="rId1"/>
    <sheet name="Visible Top Track" sheetId="1" r:id="rId2"/>
    <sheet name="Hidden Top Track, Cabinet" sheetId="4" r:id="rId3"/>
    <sheet name="Hidden Top Track, Door Opening" sheetId="5" r:id="rId4"/>
  </sheets>
  <definedNames>
    <definedName name="_xlnm.Print_Area" localSheetId="2">'Hidden Top Track, Cabinet'!$C$2:$J$53</definedName>
    <definedName name="_xlnm.Print_Area" localSheetId="3">'Hidden Top Track, Door Opening'!$C$2:$J$56</definedName>
    <definedName name="_xlnm.Print_Area" localSheetId="1">'Visible Top Track'!$C$3:$J$51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5" i="5" l="1"/>
  <c r="I54" i="5"/>
  <c r="I53" i="5"/>
  <c r="J7" i="5"/>
  <c r="J16" i="5"/>
  <c r="H16" i="5"/>
  <c r="G16" i="5"/>
  <c r="I53" i="4"/>
  <c r="I52" i="4"/>
  <c r="I51" i="4"/>
  <c r="J16" i="4"/>
  <c r="H16" i="4"/>
  <c r="G16" i="4"/>
  <c r="J7" i="4"/>
  <c r="I53" i="1"/>
  <c r="I52" i="1"/>
  <c r="J7" i="1"/>
  <c r="J16" i="1"/>
  <c r="H16" i="1"/>
  <c r="G16" i="1"/>
  <c r="I39" i="5" l="1"/>
  <c r="I38" i="5"/>
  <c r="I50" i="4"/>
  <c r="I39" i="4"/>
  <c r="I38" i="4"/>
  <c r="I50" i="1"/>
  <c r="D10" i="4"/>
  <c r="I46" i="4"/>
  <c r="I45" i="1"/>
  <c r="I44" i="4" l="1"/>
  <c r="C29" i="4"/>
  <c r="B21" i="5" l="1"/>
  <c r="D11" i="5" l="1"/>
  <c r="D10" i="5"/>
  <c r="D11" i="4"/>
  <c r="J8" i="4" s="1"/>
  <c r="D11" i="1"/>
  <c r="D10" i="1"/>
  <c r="I44" i="5" l="1"/>
  <c r="I52" i="5"/>
  <c r="J8" i="5"/>
  <c r="J27" i="5" s="1"/>
  <c r="J26" i="4"/>
  <c r="J8" i="1"/>
  <c r="J12" i="1" s="1"/>
  <c r="I25" i="5"/>
  <c r="I24" i="5"/>
  <c r="I23" i="5"/>
  <c r="I22" i="5"/>
  <c r="I34" i="5"/>
  <c r="J34" i="5" s="1"/>
  <c r="L34" i="5" s="1"/>
  <c r="I33" i="5"/>
  <c r="J33" i="5" s="1"/>
  <c r="L33" i="5" s="1"/>
  <c r="I32" i="5"/>
  <c r="J32" i="5" s="1"/>
  <c r="L32" i="5" s="1"/>
  <c r="I31" i="5"/>
  <c r="F37" i="5"/>
  <c r="F36" i="5"/>
  <c r="F35" i="5"/>
  <c r="F34" i="5"/>
  <c r="C30" i="5"/>
  <c r="E32" i="1" l="1"/>
  <c r="E34" i="1"/>
  <c r="E36" i="1"/>
  <c r="E33" i="1"/>
  <c r="E35" i="1"/>
  <c r="I27" i="4"/>
  <c r="J27" i="4"/>
  <c r="I26" i="4"/>
  <c r="L26" i="4" s="1"/>
  <c r="J26" i="5"/>
  <c r="I26" i="5"/>
  <c r="I27" i="5"/>
  <c r="L27" i="5" s="1"/>
  <c r="I26" i="1"/>
  <c r="I27" i="1"/>
  <c r="J27" i="1"/>
  <c r="J26" i="1"/>
  <c r="J31" i="5"/>
  <c r="D30" i="5"/>
  <c r="I25" i="1"/>
  <c r="I24" i="1"/>
  <c r="I23" i="1"/>
  <c r="I22" i="1"/>
  <c r="I22" i="4"/>
  <c r="I25" i="4"/>
  <c r="I24" i="4"/>
  <c r="I23" i="4"/>
  <c r="I34" i="4"/>
  <c r="J34" i="4" s="1"/>
  <c r="L34" i="4" s="1"/>
  <c r="I33" i="4"/>
  <c r="J33" i="4" s="1"/>
  <c r="L33" i="4" s="1"/>
  <c r="I32" i="4"/>
  <c r="J32" i="4" s="1"/>
  <c r="L32" i="4" s="1"/>
  <c r="I31" i="4"/>
  <c r="J31" i="4" s="1"/>
  <c r="L31" i="4" s="1"/>
  <c r="D29" i="4"/>
  <c r="F36" i="4"/>
  <c r="F35" i="4"/>
  <c r="F34" i="4"/>
  <c r="F33" i="4"/>
  <c r="L27" i="4" l="1"/>
  <c r="L26" i="5"/>
  <c r="I51" i="5"/>
  <c r="L31" i="5"/>
  <c r="L27" i="1"/>
  <c r="L26" i="1"/>
  <c r="F32" i="1"/>
  <c r="F33" i="1"/>
  <c r="F34" i="1"/>
  <c r="F35" i="1"/>
  <c r="C28" i="1"/>
  <c r="D28" i="1" s="1"/>
  <c r="I31" i="1"/>
  <c r="J31" i="1" s="1"/>
  <c r="L31" i="1" s="1"/>
  <c r="I32" i="1"/>
  <c r="J32" i="1" s="1"/>
  <c r="L32" i="1" s="1"/>
  <c r="I33" i="1"/>
  <c r="J33" i="1" s="1"/>
  <c r="L33" i="1" s="1"/>
  <c r="J22" i="1" l="1"/>
  <c r="L22" i="1" s="1"/>
  <c r="I47" i="1" l="1"/>
  <c r="I28" i="1"/>
  <c r="I41" i="1"/>
  <c r="I40" i="4"/>
  <c r="J28" i="1" l="1"/>
  <c r="L28" i="1" s="1"/>
  <c r="L41" i="1"/>
  <c r="L38" i="1"/>
  <c r="L39" i="1"/>
  <c r="L40" i="1"/>
  <c r="J24" i="1"/>
  <c r="L24" i="1" s="1"/>
  <c r="J23" i="1"/>
  <c r="L23" i="1" s="1"/>
  <c r="J20" i="1"/>
  <c r="I20" i="1" s="1"/>
  <c r="L20" i="1" s="1"/>
  <c r="J19" i="1"/>
  <c r="J24" i="4"/>
  <c r="J23" i="4"/>
  <c r="L23" i="4" s="1"/>
  <c r="J22" i="4"/>
  <c r="L22" i="4" s="1"/>
  <c r="J20" i="4"/>
  <c r="I20" i="4" s="1"/>
  <c r="L20" i="4" s="1"/>
  <c r="J19" i="4"/>
  <c r="J20" i="5"/>
  <c r="J19" i="5"/>
  <c r="I19" i="5" s="1"/>
  <c r="L19" i="5" s="1"/>
  <c r="L24" i="4" l="1"/>
  <c r="I19" i="1"/>
  <c r="L19" i="1" s="1"/>
  <c r="J25" i="1"/>
  <c r="L25" i="1" s="1"/>
  <c r="J25" i="4"/>
  <c r="L25" i="4" s="1"/>
  <c r="I19" i="4"/>
  <c r="L19" i="4" s="1"/>
  <c r="I40" i="5"/>
  <c r="J22" i="5" l="1"/>
  <c r="L22" i="5" s="1"/>
  <c r="J25" i="5" l="1"/>
  <c r="L25" i="5" s="1"/>
  <c r="J23" i="5"/>
  <c r="L23" i="5" s="1"/>
  <c r="J24" i="5"/>
  <c r="L24" i="5" l="1"/>
  <c r="J11" i="4"/>
  <c r="I21" i="4" l="1"/>
  <c r="D33" i="4"/>
  <c r="I15" i="4"/>
  <c r="I15" i="5"/>
  <c r="L15" i="5" s="1"/>
  <c r="I16" i="5"/>
  <c r="L16" i="5" s="1"/>
  <c r="J11" i="5"/>
  <c r="I15" i="1"/>
  <c r="I16" i="1"/>
  <c r="J11" i="1"/>
  <c r="D32" i="1" s="1"/>
  <c r="I54" i="1" s="1"/>
  <c r="J18" i="5"/>
  <c r="J17" i="5"/>
  <c r="J18" i="4"/>
  <c r="J17" i="4"/>
  <c r="I45" i="4" s="1"/>
  <c r="I16" i="4"/>
  <c r="J28" i="4" l="1"/>
  <c r="I54" i="4"/>
  <c r="I46" i="1"/>
  <c r="I47" i="5"/>
  <c r="I45" i="5"/>
  <c r="J12" i="5"/>
  <c r="I28" i="5" s="1"/>
  <c r="I49" i="5"/>
  <c r="I21" i="5"/>
  <c r="D34" i="5"/>
  <c r="I30" i="4"/>
  <c r="C41" i="4"/>
  <c r="F32" i="4"/>
  <c r="J12" i="4"/>
  <c r="I28" i="4" s="1"/>
  <c r="L28" i="4" s="1"/>
  <c r="I47" i="4"/>
  <c r="I21" i="1"/>
  <c r="L37" i="1"/>
  <c r="L42" i="1" s="1"/>
  <c r="I40" i="1" s="1"/>
  <c r="J21" i="5"/>
  <c r="J21" i="4"/>
  <c r="L21" i="4" s="1"/>
  <c r="I37" i="5"/>
  <c r="I37" i="4"/>
  <c r="I48" i="5"/>
  <c r="I17" i="5"/>
  <c r="I46" i="5" s="1"/>
  <c r="I17" i="4"/>
  <c r="L17" i="4" s="1"/>
  <c r="I18" i="5"/>
  <c r="I18" i="4"/>
  <c r="L18" i="4" s="1"/>
  <c r="I30" i="5" l="1"/>
  <c r="J30" i="5" s="1"/>
  <c r="L30" i="5" s="1"/>
  <c r="I56" i="5"/>
  <c r="L18" i="5"/>
  <c r="I20" i="5"/>
  <c r="L20" i="5" s="1"/>
  <c r="L21" i="5"/>
  <c r="L17" i="5"/>
  <c r="I29" i="4"/>
  <c r="C39" i="4"/>
  <c r="D39" i="4" s="1"/>
  <c r="C42" i="4"/>
  <c r="J30" i="4"/>
  <c r="I49" i="4" s="1"/>
  <c r="E38" i="5"/>
  <c r="L41" i="5" s="1"/>
  <c r="E36" i="5"/>
  <c r="L39" i="5" s="1"/>
  <c r="E35" i="5"/>
  <c r="L38" i="5" s="1"/>
  <c r="E37" i="5"/>
  <c r="L40" i="5" s="1"/>
  <c r="E34" i="5"/>
  <c r="E34" i="4"/>
  <c r="L38" i="4" s="1"/>
  <c r="E33" i="4"/>
  <c r="L37" i="4" s="1"/>
  <c r="E37" i="4"/>
  <c r="L41" i="4" s="1"/>
  <c r="E36" i="4"/>
  <c r="E35" i="4"/>
  <c r="L39" i="4" s="1"/>
  <c r="C42" i="5"/>
  <c r="I29" i="5"/>
  <c r="F33" i="5"/>
  <c r="C44" i="5" s="1"/>
  <c r="J28" i="5"/>
  <c r="L28" i="5" s="1"/>
  <c r="C40" i="1"/>
  <c r="I29" i="1"/>
  <c r="F31" i="1"/>
  <c r="C42" i="1" s="1"/>
  <c r="J29" i="5" l="1"/>
  <c r="L29" i="5" s="1"/>
  <c r="L35" i="5" s="1"/>
  <c r="L37" i="5"/>
  <c r="L42" i="5" s="1"/>
  <c r="L30" i="4"/>
  <c r="L40" i="4"/>
  <c r="L42" i="4" s="1"/>
  <c r="J29" i="4"/>
  <c r="I48" i="4" s="1"/>
  <c r="J29" i="1"/>
  <c r="L29" i="1" s="1"/>
  <c r="C40" i="5"/>
  <c r="D40" i="5" s="1"/>
  <c r="C38" i="1"/>
  <c r="D38" i="1" s="1"/>
  <c r="I42" i="1"/>
  <c r="L45" i="5" l="1"/>
  <c r="I41" i="5" s="1"/>
  <c r="I50" i="5"/>
  <c r="E58" i="5"/>
  <c r="L29" i="4"/>
  <c r="J18" i="1"/>
  <c r="I51" i="1" s="1"/>
  <c r="J17" i="1"/>
  <c r="L35" i="4" l="1"/>
  <c r="L45" i="4" s="1"/>
  <c r="I43" i="5"/>
  <c r="I42" i="5"/>
  <c r="I43" i="1"/>
  <c r="I44" i="1"/>
  <c r="J21" i="1"/>
  <c r="L21" i="1" s="1"/>
  <c r="E59" i="4" l="1"/>
  <c r="I43" i="4"/>
  <c r="I42" i="4"/>
  <c r="I41" i="4"/>
  <c r="I37" i="1"/>
  <c r="I17" i="1"/>
  <c r="L17" i="1" s="1"/>
  <c r="I18" i="1"/>
  <c r="L18" i="1" s="1"/>
  <c r="I34" i="1" l="1"/>
  <c r="J34" i="1" s="1"/>
  <c r="L34" i="1" s="1"/>
  <c r="I30" i="1"/>
  <c r="I48" i="1"/>
  <c r="J30" i="1" l="1"/>
  <c r="I49" i="1" l="1"/>
  <c r="L30" i="1"/>
  <c r="L35" i="1" s="1"/>
  <c r="L45" i="1" l="1"/>
  <c r="I39" i="1" l="1"/>
  <c r="E56" i="1"/>
  <c r="I38" i="1"/>
</calcChain>
</file>

<file path=xl/sharedStrings.xml><?xml version="1.0" encoding="utf-8"?>
<sst xmlns="http://schemas.openxmlformats.org/spreadsheetml/2006/main" count="471" uniqueCount="132">
  <si>
    <t xml:space="preserve"> </t>
  </si>
  <si>
    <t>CKRU0046</t>
  </si>
  <si>
    <t>CKRU0487</t>
  </si>
  <si>
    <t>CKRU0442</t>
  </si>
  <si>
    <t>CKRU0486</t>
  </si>
  <si>
    <t>CKRU0638</t>
  </si>
  <si>
    <t>CKRU0485</t>
  </si>
  <si>
    <t>CKRU0448</t>
  </si>
  <si>
    <t>CKRU0480</t>
  </si>
  <si>
    <t>ANV16-05</t>
  </si>
  <si>
    <t>ANV16</t>
  </si>
  <si>
    <t>ANV16-04</t>
  </si>
  <si>
    <t>ARS01</t>
  </si>
  <si>
    <t>CKRU0505</t>
  </si>
  <si>
    <t>CKRU0651</t>
  </si>
  <si>
    <t>ANV16-06</t>
  </si>
  <si>
    <t>I-----____I</t>
  </si>
  <si>
    <t>I-----____-----I</t>
  </si>
  <si>
    <t>I-----____-----____I</t>
  </si>
  <si>
    <t>I-----____  ____-----I</t>
  </si>
  <si>
    <t>I-----____-----____-----I</t>
  </si>
  <si>
    <t>ANV16-07</t>
  </si>
  <si>
    <t>MT/ST 9*5-6P6L</t>
  </si>
  <si>
    <t>ARD02U 1030</t>
  </si>
  <si>
    <t>ARD02U 3050</t>
  </si>
  <si>
    <t>ARD02U 5070</t>
  </si>
  <si>
    <t>W-QL</t>
  </si>
  <si>
    <t>ANV16-01</t>
  </si>
  <si>
    <t>ANV16-03</t>
  </si>
  <si>
    <t>ARL-U</t>
  </si>
  <si>
    <t>Entering Initial Data for the Calculation</t>
  </si>
  <si>
    <t>Installation with Visible Top Track</t>
  </si>
  <si>
    <t>Calculation of the Doors of Aristo Nova System</t>
  </si>
  <si>
    <t>Installation with Hidden Top Track in the Cabinet</t>
  </si>
  <si>
    <t>Installation with Hidden Top Track in the Door Opening (Built-in)</t>
  </si>
  <si>
    <t>Height of the door opening</t>
  </si>
  <si>
    <t>Width of the opening, covered by the doors</t>
  </si>
  <si>
    <t>Position of the doors</t>
  </si>
  <si>
    <t>Number of doors</t>
  </si>
  <si>
    <t>Number of overlaps (1 overlap is 12 mm)</t>
  </si>
  <si>
    <t>Total number of door soft closers (pcs.)</t>
  </si>
  <si>
    <t>Dust Protection Gasket</t>
  </si>
  <si>
    <t>Calculation Result</t>
  </si>
  <si>
    <t>Door dimensions:</t>
  </si>
  <si>
    <t>Height</t>
  </si>
  <si>
    <t>Width</t>
  </si>
  <si>
    <t>Door panel:</t>
  </si>
  <si>
    <t>Universal lock</t>
  </si>
  <si>
    <t>To calculate the size and number of components, enter the data in the table</t>
  </si>
  <si>
    <t>Number of inserts for one door:</t>
  </si>
  <si>
    <t>Insert 1 (automatically calculated)</t>
  </si>
  <si>
    <t>Insert 2</t>
  </si>
  <si>
    <t>Insert 3</t>
  </si>
  <si>
    <t>Insert 4</t>
  </si>
  <si>
    <t>Insert 5 (bottom of the door)</t>
  </si>
  <si>
    <t>Panel</t>
  </si>
  <si>
    <t>Material</t>
  </si>
  <si>
    <t>Amount</t>
  </si>
  <si>
    <t>It is necessary to process the edges of the mirror or glass before assembling the door</t>
  </si>
  <si>
    <t>Profiles:</t>
  </si>
  <si>
    <t>Code</t>
  </si>
  <si>
    <t>Size</t>
  </si>
  <si>
    <t>Accessories:</t>
  </si>
  <si>
    <r>
      <t>Height (</t>
    </r>
    <r>
      <rPr>
        <b/>
        <u/>
        <sz val="14"/>
        <color theme="1"/>
        <rFont val="Calibri"/>
        <family val="2"/>
        <charset val="204"/>
        <scheme val="minor"/>
      </rPr>
      <t>total</t>
    </r>
    <r>
      <rPr>
        <sz val="14"/>
        <color theme="1"/>
        <rFont val="Calibri"/>
        <family val="2"/>
        <scheme val="minor"/>
      </rPr>
      <t>)</t>
    </r>
  </si>
  <si>
    <t>Weight of one door:</t>
  </si>
  <si>
    <t>* Door weight calculation does not take the evenness of the floor into account</t>
  </si>
  <si>
    <r>
      <t xml:space="preserve">Number of </t>
    </r>
    <r>
      <rPr>
        <b/>
        <sz val="14"/>
        <color theme="1"/>
        <rFont val="Calibri"/>
        <family val="2"/>
        <charset val="204"/>
        <scheme val="minor"/>
      </rPr>
      <t>dividing</t>
    </r>
    <r>
      <rPr>
        <sz val="14"/>
        <color theme="1"/>
        <rFont val="Calibri"/>
        <family val="2"/>
        <scheme val="minor"/>
      </rPr>
      <t xml:space="preserve"> rails for one door</t>
    </r>
  </si>
  <si>
    <r>
      <t xml:space="preserve">Number of </t>
    </r>
    <r>
      <rPr>
        <b/>
        <sz val="14"/>
        <color theme="1"/>
        <rFont val="Calibri"/>
        <family val="2"/>
        <charset val="204"/>
        <scheme val="minor"/>
      </rPr>
      <t>handle</t>
    </r>
    <r>
      <rPr>
        <sz val="14"/>
        <color theme="1"/>
        <rFont val="Calibri"/>
        <family val="2"/>
        <scheme val="minor"/>
      </rPr>
      <t xml:space="preserve"> rails for one door</t>
    </r>
  </si>
  <si>
    <r>
      <t xml:space="preserve">Number of </t>
    </r>
    <r>
      <rPr>
        <b/>
        <sz val="14"/>
        <color theme="1"/>
        <rFont val="Calibri"/>
        <family val="2"/>
        <charset val="204"/>
        <scheme val="minor"/>
      </rPr>
      <t>horizontal</t>
    </r>
    <r>
      <rPr>
        <sz val="14"/>
        <color theme="1"/>
        <rFont val="Calibri"/>
        <family val="2"/>
        <scheme val="minor"/>
      </rPr>
      <t xml:space="preserve"> rails for one door</t>
    </r>
  </si>
  <si>
    <t>Element for the side surface of the door</t>
  </si>
  <si>
    <t>Cut-in Handle ANV16-04, L=200mm (number for 1 door)</t>
  </si>
  <si>
    <t>Cut-in Handle (length,number for 1 door)</t>
  </si>
  <si>
    <t>Number of soft closers on the inner doors, pcs. (on the inner brackets)</t>
  </si>
  <si>
    <t>Number of soft closers on the outer doors, pcs. (on the outer brackets)</t>
  </si>
  <si>
    <t>Select the door insert connection element:</t>
  </si>
  <si>
    <t>The thickness of the cabinet body parts 16mm</t>
  </si>
  <si>
    <t>* Along the internal opening of the cabinet, depends on the presence of sidewalls and their thickness</t>
  </si>
  <si>
    <t>Contents</t>
  </si>
  <si>
    <t>CKRU0504/0009</t>
  </si>
  <si>
    <t>Double Top Track</t>
  </si>
  <si>
    <t>Double Bottom Track</t>
  </si>
  <si>
    <t>Stile Nova</t>
  </si>
  <si>
    <t>Horisontal Rail</t>
  </si>
  <si>
    <t xml:space="preserve">Dividing Rail (Door Divider) </t>
  </si>
  <si>
    <t xml:space="preserve">Dividing Rail (Connection with Cut-in Handle) </t>
  </si>
  <si>
    <t>Vertical Support Profile</t>
  </si>
  <si>
    <t xml:space="preserve">Handle Rail (Door Divider) </t>
  </si>
  <si>
    <t xml:space="preserve">Handle Rail (Cut-in Handle) </t>
  </si>
  <si>
    <t>Connecting Profile</t>
  </si>
  <si>
    <t>Handle Insert Profile</t>
  </si>
  <si>
    <t>Narrow Glass Frame Profile Horizontal</t>
  </si>
  <si>
    <t>Narrow Glass Frame Profile Vertical Insert 1</t>
  </si>
  <si>
    <t>Narrow Glass Frame Profile Vertical Insert 2</t>
  </si>
  <si>
    <t>Narrow Glass Frame Profile Vertical Insert 3</t>
  </si>
  <si>
    <t>Narrow Glass Frame Profile Vertical Insert 4</t>
  </si>
  <si>
    <t>Narrow Glass Frame Profile Vertical Insert 5</t>
  </si>
  <si>
    <t>Rollers Set Nova</t>
  </si>
  <si>
    <t>Cut-in Handle</t>
  </si>
  <si>
    <t>Top Track Positioner</t>
  </si>
  <si>
    <t>Weather Strip for the Groove of the Stiles</t>
  </si>
  <si>
    <t>Wide Glass Frame Profile Horizontal</t>
  </si>
  <si>
    <t>Brackets for Inner Door</t>
  </si>
  <si>
    <t>Brackets for Outer Door</t>
  </si>
  <si>
    <t>Universal Soft Closer**</t>
  </si>
  <si>
    <t>Self-adhesive strip</t>
  </si>
  <si>
    <t>Glass Frame Corner Joint</t>
  </si>
  <si>
    <t>Support Plate</t>
  </si>
  <si>
    <t>Weather Strip PU for the Sides of the Door</t>
  </si>
  <si>
    <t>Weather Strip  for the Sides of the Door</t>
  </si>
  <si>
    <t>Screw 2,9*19 mm, Countersunk</t>
  </si>
  <si>
    <t>Screw 2,9*13 mm,  Countersunk</t>
  </si>
  <si>
    <t>Screw 3,9*16 mm, Round Head</t>
  </si>
  <si>
    <t>Screw 3,9*9,5 mm, Round Head</t>
  </si>
  <si>
    <t>Glass/Mirror 4 mm</t>
  </si>
  <si>
    <t>yes</t>
  </si>
  <si>
    <t>no</t>
  </si>
  <si>
    <t>Weather Strip</t>
  </si>
  <si>
    <t>Weather Strip PU</t>
  </si>
  <si>
    <t>Indicate the height of Insert 5 (bottom of the door)</t>
  </si>
  <si>
    <t>Incorrect insertion heights</t>
  </si>
  <si>
    <t>Correct insert heights</t>
  </si>
  <si>
    <t>Not recommended</t>
  </si>
  <si>
    <t>Mirror insert height less than 130 mm</t>
  </si>
  <si>
    <t>KNP01</t>
  </si>
  <si>
    <t>CKRU0690</t>
  </si>
  <si>
    <t>Chipboard 16 mm</t>
  </si>
  <si>
    <t>Universal lock***</t>
  </si>
  <si>
    <t>** Door weight calculation does not take the evenness of the floor into account</t>
  </si>
  <si>
    <t>*** We recommend using the lock together with soft closers in a cabinet with a hidden top track</t>
  </si>
  <si>
    <t>Universal Soft Closer*</t>
  </si>
  <si>
    <t>Calculation of the Doors of Aristo Wave System</t>
  </si>
  <si>
    <t>Recessed Single Bottom Track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</si>
</sst>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&quot; мм&quot;"/>
    <numFmt numFmtId="165" formatCode="0.0"/>
    <numFmt numFmtId="166" formatCode="#,##0.0"/>
    <numFmt numFmtId="167" formatCode="#,##0&quot; mm&quot;"/>
    <numFmt numFmtId="168" formatCode="#,##0&quot; kg.&quot;"/>
    <numFmt numFmtId="169" formatCode="#,##0&quot; set.&quot;"/>
    <numFmt numFmtId="170" formatCode="#,##0&quot; m&quot;"/>
    <numFmt numFmtId="171" formatCode="#,##0&quot; pcs.&quot;"/>
    <numFmt numFmtId="172" formatCode="#,##0&quot; pc.&quot;"/>
    <numFmt numFmtId="173" formatCode="#,##0&quot; mm*&quot;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charset val="204"/>
      <scheme val="minor"/>
    </font>
    <font>
      <sz val="14"/>
      <color rgb="FFFF0000"/>
      <name val="Calibri"/>
      <family val="2"/>
      <scheme val="minor"/>
    </font>
    <font>
      <sz val="14"/>
      <color theme="0" tint="-0.1499984740745262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50">
    <xf numFmtId="0" fontId="0" fillId="0" borderId="0" xfId="0"/>
    <xf numFmtId="164" fontId="2" fillId="0" borderId="0" xfId="0" applyNumberFormat="1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0" fillId="4" borderId="17" xfId="0" applyFill="1" applyBorder="1"/>
    <xf numFmtId="0" fontId="0" fillId="4" borderId="21" xfId="0" applyFill="1" applyBorder="1"/>
    <xf numFmtId="0" fontId="0" fillId="4" borderId="34" xfId="0" applyFill="1" applyBorder="1"/>
    <xf numFmtId="0" fontId="0" fillId="4" borderId="0" xfId="0" applyFill="1"/>
    <xf numFmtId="0" fontId="0" fillId="4" borderId="35" xfId="0" applyFill="1" applyBorder="1"/>
    <xf numFmtId="0" fontId="0" fillId="4" borderId="0" xfId="0" applyFill="1" applyBorder="1"/>
    <xf numFmtId="0" fontId="0" fillId="4" borderId="16" xfId="0" applyFill="1" applyBorder="1"/>
    <xf numFmtId="0" fontId="0" fillId="4" borderId="18" xfId="0" applyFill="1" applyBorder="1"/>
    <xf numFmtId="0" fontId="0" fillId="4" borderId="24" xfId="0" applyFill="1" applyBorder="1"/>
    <xf numFmtId="0" fontId="0" fillId="4" borderId="36" xfId="0" applyFill="1" applyBorder="1"/>
    <xf numFmtId="1" fontId="2" fillId="0" borderId="19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vertical="center"/>
      <protection locked="0"/>
    </xf>
    <xf numFmtId="164" fontId="2" fillId="0" borderId="39" xfId="0" applyNumberFormat="1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Protection="1"/>
    <xf numFmtId="0" fontId="1" fillId="0" borderId="11" xfId="0" applyFont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 wrapText="1"/>
    </xf>
    <xf numFmtId="3" fontId="0" fillId="0" borderId="0" xfId="0" applyNumberFormat="1" applyBorder="1" applyAlignment="1" applyProtection="1">
      <alignment vertical="center" wrapText="1"/>
    </xf>
    <xf numFmtId="3" fontId="2" fillId="0" borderId="0" xfId="0" applyNumberFormat="1" applyFont="1" applyBorder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1" fillId="0" borderId="0" xfId="0" applyFont="1" applyFill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horizontal="center" vertical="center"/>
    </xf>
    <xf numFmtId="165" fontId="11" fillId="0" borderId="26" xfId="0" applyNumberFormat="1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11" fillId="0" borderId="1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vertical="center"/>
    </xf>
    <xf numFmtId="165" fontId="11" fillId="0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" fillId="0" borderId="9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1" fillId="2" borderId="3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" fillId="0" borderId="18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horizontal="right" vertical="center"/>
    </xf>
    <xf numFmtId="164" fontId="2" fillId="0" borderId="24" xfId="0" applyNumberFormat="1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vertical="center"/>
    </xf>
    <xf numFmtId="0" fontId="1" fillId="0" borderId="37" xfId="0" applyFont="1" applyBorder="1" applyProtection="1"/>
    <xf numFmtId="0" fontId="6" fillId="0" borderId="0" xfId="0" applyFont="1" applyBorder="1" applyAlignment="1" applyProtection="1">
      <alignment vertical="center" wrapText="1"/>
    </xf>
    <xf numFmtId="0" fontId="11" fillId="0" borderId="3" xfId="0" applyFont="1" applyBorder="1" applyAlignment="1" applyProtection="1">
      <alignment horizontal="center" vertical="center"/>
    </xf>
    <xf numFmtId="0" fontId="1" fillId="3" borderId="37" xfId="0" applyFont="1" applyFill="1" applyBorder="1" applyProtection="1"/>
    <xf numFmtId="0" fontId="0" fillId="0" borderId="0" xfId="0" applyBorder="1" applyAlignment="1" applyProtection="1">
      <alignment vertical="top" wrapText="1"/>
    </xf>
    <xf numFmtId="0" fontId="6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wrapText="1"/>
    </xf>
    <xf numFmtId="0" fontId="1" fillId="0" borderId="9" xfId="0" applyFont="1" applyFill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/>
    </xf>
    <xf numFmtId="0" fontId="1" fillId="0" borderId="0" xfId="0" applyFont="1" applyBorder="1" applyProtection="1"/>
    <xf numFmtId="0" fontId="11" fillId="0" borderId="6" xfId="0" applyFont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vertical="center"/>
    </xf>
    <xf numFmtId="0" fontId="1" fillId="0" borderId="38" xfId="0" applyFont="1" applyFill="1" applyBorder="1" applyAlignment="1" applyProtection="1">
      <alignment vertical="center"/>
    </xf>
    <xf numFmtId="165" fontId="11" fillId="0" borderId="2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1" fontId="1" fillId="0" borderId="0" xfId="0" applyNumberFormat="1" applyFont="1" applyProtection="1"/>
    <xf numFmtId="0" fontId="1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3" fontId="0" fillId="0" borderId="0" xfId="0" applyNumberForma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5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horizontal="center" vertical="center"/>
    </xf>
    <xf numFmtId="0" fontId="4" fillId="0" borderId="0" xfId="0" applyFont="1" applyFill="1" applyBorder="1" applyProtection="1"/>
    <xf numFmtId="165" fontId="11" fillId="0" borderId="6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/>
    <xf numFmtId="0" fontId="10" fillId="0" borderId="1" xfId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2" fillId="0" borderId="11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vertical="center"/>
    </xf>
    <xf numFmtId="167" fontId="1" fillId="5" borderId="1" xfId="0" applyNumberFormat="1" applyFont="1" applyFill="1" applyBorder="1" applyAlignment="1" applyProtection="1">
      <alignment horizontal="center" vertical="center"/>
    </xf>
    <xf numFmtId="167" fontId="1" fillId="0" borderId="10" xfId="0" applyNumberFormat="1" applyFont="1" applyBorder="1" applyAlignment="1" applyProtection="1">
      <alignment horizontal="center" vertical="center"/>
    </xf>
    <xf numFmtId="167" fontId="1" fillId="0" borderId="7" xfId="0" applyNumberFormat="1" applyFont="1" applyBorder="1" applyAlignment="1" applyProtection="1">
      <alignment horizontal="center" vertical="center"/>
    </xf>
    <xf numFmtId="167" fontId="2" fillId="3" borderId="1" xfId="0" applyNumberFormat="1" applyFont="1" applyFill="1" applyBorder="1" applyAlignment="1" applyProtection="1">
      <alignment horizontal="center" vertical="center"/>
      <protection locked="0"/>
    </xf>
    <xf numFmtId="167" fontId="2" fillId="0" borderId="5" xfId="0" applyNumberFormat="1" applyFont="1" applyBorder="1" applyAlignment="1" applyProtection="1">
      <alignment horizontal="center" vertical="center"/>
    </xf>
    <xf numFmtId="167" fontId="2" fillId="0" borderId="7" xfId="0" applyNumberFormat="1" applyFont="1" applyBorder="1" applyAlignment="1" applyProtection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168" fontId="1" fillId="0" borderId="37" xfId="0" applyNumberFormat="1" applyFont="1" applyBorder="1" applyAlignment="1" applyProtection="1">
      <alignment vertical="center"/>
    </xf>
    <xf numFmtId="0" fontId="1" fillId="0" borderId="0" xfId="0" applyFont="1"/>
    <xf numFmtId="167" fontId="1" fillId="3" borderId="1" xfId="0" applyNumberFormat="1" applyFont="1" applyFill="1" applyBorder="1" applyAlignment="1" applyProtection="1">
      <alignment horizontal="center" vertical="center"/>
      <protection locked="0"/>
    </xf>
    <xf numFmtId="167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35" xfId="0" applyFont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44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vertical="center"/>
    </xf>
    <xf numFmtId="167" fontId="2" fillId="0" borderId="3" xfId="0" applyNumberFormat="1" applyFont="1" applyFill="1" applyBorder="1" applyAlignment="1" applyProtection="1">
      <alignment horizontal="center" vertical="center"/>
    </xf>
    <xf numFmtId="167" fontId="2" fillId="0" borderId="1" xfId="0" applyNumberFormat="1" applyFont="1" applyBorder="1" applyAlignment="1" applyProtection="1">
      <alignment horizontal="center" vertical="center"/>
    </xf>
    <xf numFmtId="167" fontId="2" fillId="0" borderId="20" xfId="0" applyNumberFormat="1" applyFont="1" applyBorder="1" applyAlignment="1" applyProtection="1">
      <alignment horizontal="center" vertical="center"/>
    </xf>
    <xf numFmtId="167" fontId="2" fillId="0" borderId="1" xfId="0" applyNumberFormat="1" applyFont="1" applyFill="1" applyBorder="1" applyAlignment="1" applyProtection="1">
      <alignment horizontal="center" vertical="center"/>
    </xf>
    <xf numFmtId="173" fontId="2" fillId="0" borderId="3" xfId="0" applyNumberFormat="1" applyFont="1" applyFill="1" applyBorder="1" applyAlignment="1" applyProtection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1" fillId="0" borderId="9" xfId="0" applyFont="1" applyBorder="1" applyAlignment="1">
      <alignment vertical="center"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167" fontId="2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17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167" fontId="2" fillId="3" borderId="4" xfId="0" applyNumberFormat="1" applyFont="1" applyFill="1" applyBorder="1" applyAlignment="1" applyProtection="1">
      <alignment horizontal="center" vertical="center"/>
      <protection locked="0"/>
    </xf>
    <xf numFmtId="167" fontId="2" fillId="3" borderId="5" xfId="0" applyNumberFormat="1" applyFont="1" applyFill="1" applyBorder="1" applyAlignment="1" applyProtection="1">
      <alignment horizontal="center" vertical="center"/>
      <protection locked="0"/>
    </xf>
    <xf numFmtId="167" fontId="2" fillId="3" borderId="1" xfId="0" applyNumberFormat="1" applyFont="1" applyFill="1" applyBorder="1" applyAlignment="1" applyProtection="1">
      <alignment horizontal="center" vertical="center"/>
      <protection locked="0"/>
    </xf>
    <xf numFmtId="167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3" borderId="42" xfId="0" applyFont="1" applyFill="1" applyBorder="1" applyAlignment="1" applyProtection="1">
      <alignment horizontal="left" vertical="top"/>
      <protection locked="0"/>
    </xf>
    <xf numFmtId="0" fontId="1" fillId="3" borderId="29" xfId="0" applyFont="1" applyFill="1" applyBorder="1" applyAlignment="1" applyProtection="1">
      <alignment horizontal="left" vertical="top"/>
      <protection locked="0"/>
    </xf>
    <xf numFmtId="0" fontId="1" fillId="0" borderId="9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0" borderId="9" xfId="0" applyFont="1" applyFill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horizontal="left" vertical="top"/>
    </xf>
    <xf numFmtId="0" fontId="1" fillId="0" borderId="27" xfId="0" applyFont="1" applyFill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41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41" xfId="0" applyFont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left" vertical="center"/>
    </xf>
    <xf numFmtId="172" fontId="2" fillId="0" borderId="1" xfId="0" applyNumberFormat="1" applyFont="1" applyBorder="1" applyAlignment="1" applyProtection="1">
      <alignment horizontal="center" vertical="center" wrapText="1"/>
    </xf>
    <xf numFmtId="172" fontId="2" fillId="0" borderId="10" xfId="0" applyNumberFormat="1" applyFont="1" applyBorder="1" applyAlignment="1" applyProtection="1">
      <alignment horizontal="center" vertical="center" wrapText="1"/>
    </xf>
    <xf numFmtId="172" fontId="2" fillId="0" borderId="6" xfId="0" applyNumberFormat="1" applyFont="1" applyBorder="1" applyAlignment="1" applyProtection="1">
      <alignment horizontal="center" vertical="center" wrapText="1"/>
    </xf>
    <xf numFmtId="172" fontId="2" fillId="0" borderId="7" xfId="0" applyNumberFormat="1" applyFont="1" applyBorder="1" applyAlignment="1" applyProtection="1">
      <alignment horizontal="center" vertical="center" wrapText="1"/>
    </xf>
    <xf numFmtId="170" fontId="2" fillId="0" borderId="1" xfId="0" applyNumberFormat="1" applyFont="1" applyBorder="1" applyAlignment="1" applyProtection="1">
      <alignment horizontal="center" vertical="center" wrapText="1"/>
    </xf>
    <xf numFmtId="170" fontId="0" fillId="0" borderId="10" xfId="0" applyNumberFormat="1" applyBorder="1" applyAlignment="1" applyProtection="1">
      <alignment horizontal="center" vertical="center" wrapText="1"/>
    </xf>
    <xf numFmtId="172" fontId="0" fillId="0" borderId="10" xfId="0" applyNumberFormat="1" applyBorder="1" applyAlignment="1" applyProtection="1">
      <alignment horizontal="center" vertical="center" wrapText="1"/>
    </xf>
    <xf numFmtId="172" fontId="2" fillId="0" borderId="1" xfId="0" applyNumberFormat="1" applyFont="1" applyFill="1" applyBorder="1" applyAlignment="1" applyProtection="1">
      <alignment horizontal="center" vertical="center" wrapText="1"/>
    </xf>
    <xf numFmtId="172" fontId="0" fillId="0" borderId="10" xfId="0" applyNumberFormat="1" applyFill="1" applyBorder="1" applyAlignment="1" applyProtection="1">
      <alignment horizontal="center" vertical="center" wrapText="1"/>
    </xf>
    <xf numFmtId="171" fontId="2" fillId="0" borderId="1" xfId="0" applyNumberFormat="1" applyFont="1" applyFill="1" applyBorder="1" applyAlignment="1" applyProtection="1">
      <alignment horizontal="center" vertical="center" wrapText="1"/>
    </xf>
    <xf numFmtId="171" fontId="2" fillId="0" borderId="10" xfId="0" applyNumberFormat="1" applyFont="1" applyFill="1" applyBorder="1" applyAlignment="1" applyProtection="1">
      <alignment horizontal="center" vertical="center" wrapText="1"/>
    </xf>
    <xf numFmtId="170" fontId="2" fillId="0" borderId="1" xfId="0" applyNumberFormat="1" applyFont="1" applyFill="1" applyBorder="1" applyAlignment="1" applyProtection="1">
      <alignment horizontal="center" vertical="center" wrapText="1"/>
    </xf>
    <xf numFmtId="170" fontId="2" fillId="0" borderId="10" xfId="0" applyNumberFormat="1" applyFont="1" applyFill="1" applyBorder="1" applyAlignment="1" applyProtection="1">
      <alignment horizontal="center" vertical="center" wrapText="1"/>
    </xf>
    <xf numFmtId="172" fontId="14" fillId="0" borderId="10" xfId="0" applyNumberFormat="1" applyFont="1" applyBorder="1" applyAlignment="1" applyProtection="1">
      <alignment horizontal="center" vertical="center" wrapText="1"/>
    </xf>
    <xf numFmtId="170" fontId="2" fillId="0" borderId="10" xfId="0" applyNumberFormat="1" applyFont="1" applyBorder="1" applyAlignment="1" applyProtection="1">
      <alignment horizontal="center" vertical="center" wrapText="1"/>
    </xf>
    <xf numFmtId="164" fontId="4" fillId="2" borderId="30" xfId="0" applyNumberFormat="1" applyFont="1" applyFill="1" applyBorder="1" applyAlignment="1">
      <alignment horizontal="center" vertical="center" wrapText="1"/>
    </xf>
    <xf numFmtId="164" fontId="4" fillId="2" borderId="31" xfId="0" applyNumberFormat="1" applyFont="1" applyFill="1" applyBorder="1" applyAlignment="1">
      <alignment horizontal="center" vertical="center" wrapText="1"/>
    </xf>
    <xf numFmtId="169" fontId="2" fillId="0" borderId="1" xfId="0" applyNumberFormat="1" applyFont="1" applyBorder="1" applyAlignment="1" applyProtection="1">
      <alignment horizontal="center" vertical="center" wrapText="1"/>
    </xf>
    <xf numFmtId="169" fontId="2" fillId="0" borderId="10" xfId="0" applyNumberFormat="1" applyFont="1" applyBorder="1" applyAlignment="1" applyProtection="1">
      <alignment horizontal="center" vertical="center" wrapText="1"/>
    </xf>
    <xf numFmtId="169" fontId="0" fillId="0" borderId="10" xfId="0" applyNumberFormat="1" applyBorder="1" applyAlignment="1" applyProtection="1">
      <alignment horizontal="center" vertical="center" wrapText="1"/>
    </xf>
    <xf numFmtId="171" fontId="2" fillId="0" borderId="1" xfId="0" applyNumberFormat="1" applyFont="1" applyBorder="1" applyAlignment="1" applyProtection="1">
      <alignment horizontal="center" vertical="center" wrapText="1"/>
    </xf>
    <xf numFmtId="171" fontId="0" fillId="0" borderId="10" xfId="0" applyNumberFormat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0" fillId="3" borderId="1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</xf>
    <xf numFmtId="0" fontId="1" fillId="0" borderId="35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0" borderId="41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172" fontId="2" fillId="0" borderId="2" xfId="0" applyNumberFormat="1" applyFont="1" applyBorder="1" applyAlignment="1" applyProtection="1">
      <alignment horizontal="center" vertical="center" wrapText="1"/>
    </xf>
    <xf numFmtId="172" fontId="2" fillId="0" borderId="12" xfId="0" applyNumberFormat="1" applyFont="1" applyBorder="1" applyAlignment="1" applyProtection="1">
      <alignment horizontal="center" vertical="center" wrapText="1"/>
    </xf>
    <xf numFmtId="169" fontId="2" fillId="0" borderId="2" xfId="0" applyNumberFormat="1" applyFont="1" applyBorder="1" applyAlignment="1" applyProtection="1">
      <alignment horizontal="center" vertical="center" wrapText="1"/>
    </xf>
    <xf numFmtId="169" fontId="2" fillId="0" borderId="12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1" fillId="0" borderId="9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71" fontId="2" fillId="0" borderId="2" xfId="0" applyNumberFormat="1" applyFont="1" applyBorder="1" applyAlignment="1" applyProtection="1">
      <alignment horizontal="center" vertical="center" wrapText="1"/>
    </xf>
    <xf numFmtId="171" fontId="2" fillId="0" borderId="12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171" fontId="2" fillId="0" borderId="28" xfId="0" applyNumberFormat="1" applyFont="1" applyBorder="1" applyAlignment="1" applyProtection="1">
      <alignment horizontal="center" vertical="center" wrapText="1"/>
    </xf>
    <xf numFmtId="171" fontId="2" fillId="0" borderId="29" xfId="0" applyNumberFormat="1" applyFont="1" applyBorder="1" applyAlignment="1" applyProtection="1">
      <alignment horizontal="center" vertical="center" wrapText="1"/>
    </xf>
    <xf numFmtId="170" fontId="2" fillId="0" borderId="2" xfId="0" applyNumberFormat="1" applyFont="1" applyFill="1" applyBorder="1" applyAlignment="1" applyProtection="1">
      <alignment horizontal="center" vertical="center" wrapText="1"/>
    </xf>
    <xf numFmtId="170" fontId="2" fillId="0" borderId="12" xfId="0" applyNumberFormat="1" applyFont="1" applyFill="1" applyBorder="1" applyAlignment="1" applyProtection="1">
      <alignment horizontal="center" vertical="center" wrapText="1"/>
    </xf>
    <xf numFmtId="172" fontId="2" fillId="0" borderId="3" xfId="0" applyNumberFormat="1" applyFont="1" applyBorder="1" applyAlignment="1" applyProtection="1">
      <alignment horizontal="center" vertical="center" wrapText="1"/>
    </xf>
    <xf numFmtId="172" fontId="0" fillId="0" borderId="15" xfId="0" applyNumberFormat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center"/>
    </xf>
    <xf numFmtId="171" fontId="2" fillId="0" borderId="2" xfId="0" applyNumberFormat="1" applyFont="1" applyFill="1" applyBorder="1" applyAlignment="1" applyProtection="1">
      <alignment horizontal="center" vertical="center" wrapText="1"/>
    </xf>
    <xf numFmtId="171" fontId="2" fillId="0" borderId="1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1" fillId="3" borderId="42" xfId="0" applyFont="1" applyFill="1" applyBorder="1" applyAlignment="1" applyProtection="1">
      <alignment horizontal="left" vertical="center"/>
      <protection locked="0"/>
    </xf>
    <xf numFmtId="0" fontId="1" fillId="3" borderId="29" xfId="0" applyFont="1" applyFill="1" applyBorder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left" vertical="center"/>
    </xf>
    <xf numFmtId="0" fontId="1" fillId="0" borderId="35" xfId="0" applyFont="1" applyBorder="1" applyAlignment="1">
      <alignment vertical="top"/>
    </xf>
    <xf numFmtId="0" fontId="1" fillId="0" borderId="44" xfId="0" applyFont="1" applyBorder="1" applyAlignment="1">
      <alignment vertical="top"/>
    </xf>
    <xf numFmtId="3" fontId="2" fillId="0" borderId="28" xfId="0" applyNumberFormat="1" applyFont="1" applyBorder="1" applyAlignment="1" applyProtection="1">
      <alignment horizontal="center" vertical="center" wrapText="1"/>
    </xf>
    <xf numFmtId="3" fontId="2" fillId="0" borderId="29" xfId="0" applyNumberFormat="1" applyFont="1" applyBorder="1" applyAlignment="1" applyProtection="1">
      <alignment horizontal="center" vertical="center" wrapText="1"/>
    </xf>
    <xf numFmtId="166" fontId="2" fillId="0" borderId="2" xfId="0" applyNumberFormat="1" applyFont="1" applyBorder="1" applyAlignment="1" applyProtection="1">
      <alignment horizontal="center" vertical="center" wrapText="1"/>
    </xf>
    <xf numFmtId="166" fontId="2" fillId="0" borderId="12" xfId="0" applyNumberFormat="1" applyFont="1" applyBorder="1" applyAlignment="1" applyProtection="1">
      <alignment horizontal="center" vertical="center" wrapText="1"/>
    </xf>
    <xf numFmtId="3" fontId="2" fillId="0" borderId="2" xfId="0" applyNumberFormat="1" applyFont="1" applyBorder="1" applyAlignment="1" applyProtection="1">
      <alignment horizontal="center" vertical="center" wrapText="1"/>
    </xf>
    <xf numFmtId="3" fontId="2" fillId="0" borderId="12" xfId="0" applyNumberFormat="1" applyFont="1" applyBorder="1" applyAlignment="1" applyProtection="1">
      <alignment horizontal="center" vertical="center" wrapText="1"/>
    </xf>
    <xf numFmtId="3" fontId="2" fillId="0" borderId="32" xfId="0" applyNumberFormat="1" applyFont="1" applyBorder="1" applyAlignment="1" applyProtection="1">
      <alignment horizontal="center" vertical="center" wrapText="1"/>
    </xf>
    <xf numFmtId="3" fontId="2" fillId="0" borderId="33" xfId="0" applyNumberFormat="1" applyFont="1" applyBorder="1" applyAlignment="1" applyProtection="1">
      <alignment horizontal="center" vertical="center" wrapText="1"/>
    </xf>
    <xf numFmtId="170" fontId="2" fillId="0" borderId="2" xfId="0" applyNumberFormat="1" applyFont="1" applyBorder="1" applyAlignment="1" applyProtection="1">
      <alignment horizontal="center" vertical="center" wrapText="1"/>
    </xf>
    <xf numFmtId="170" fontId="2" fillId="0" borderId="12" xfId="0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isible Top Track'!A1"/><Relationship Id="rId2" Type="http://schemas.openxmlformats.org/officeDocument/2006/relationships/hyperlink" Target="#'Hidden Top Track, Cabinet'!A1"/><Relationship Id="rId1" Type="http://schemas.openxmlformats.org/officeDocument/2006/relationships/hyperlink" Target="#'Hidden Top Track, Door Opening'!A1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396327</xdr:colOff>
      <xdr:row>10</xdr:row>
      <xdr:rowOff>157407</xdr:rowOff>
    </xdr:from>
    <xdr:ext cx="3042000" cy="342786"/>
    <xdr:sp macro="" textlink="">
      <xdr:nvSpPr>
        <xdr:cNvPr id="2" name="Прямоугольни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615527" y="1986207"/>
          <a:ext cx="3042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en-US" sz="1600" b="0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Hidden Top Track, Door Opening</a:t>
          </a:r>
          <a:endParaRPr lang="ru-RU" sz="1600" b="0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rgbClr val="92D050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</xdr:col>
      <xdr:colOff>404264</xdr:colOff>
      <xdr:row>8</xdr:row>
      <xdr:rowOff>142143</xdr:rowOff>
    </xdr:from>
    <xdr:ext cx="3042000" cy="342786"/>
    <xdr:sp macro="" textlink="">
      <xdr:nvSpPr>
        <xdr:cNvPr id="3" name="Прямоугольник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623464" y="1666143"/>
          <a:ext cx="3042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en-US" sz="1600" b="0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Hidden Top Track, Cabinet</a:t>
          </a:r>
          <a:endParaRPr lang="ru-RU" sz="1600" b="0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rgbClr val="92D050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</xdr:col>
      <xdr:colOff>404203</xdr:colOff>
      <xdr:row>6</xdr:row>
      <xdr:rowOff>126877</xdr:rowOff>
    </xdr:from>
    <xdr:ext cx="3042000" cy="342786"/>
    <xdr:sp macro="" textlink="">
      <xdr:nvSpPr>
        <xdr:cNvPr id="4" name="Прямоугольник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623403" y="1224157"/>
          <a:ext cx="3042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en-US" sz="1600" b="0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Visible Top Track</a:t>
          </a:r>
          <a:endParaRPr lang="ru-RU" sz="1600" b="0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rgbClr val="92D050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8</xdr:col>
      <xdr:colOff>376167</xdr:colOff>
      <xdr:row>0</xdr:row>
      <xdr:rowOff>51420</xdr:rowOff>
    </xdr:from>
    <xdr:to>
      <xdr:col>9</xdr:col>
      <xdr:colOff>545121</xdr:colOff>
      <xdr:row>2</xdr:row>
      <xdr:rowOff>139212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00567" y="51420"/>
          <a:ext cx="778554" cy="468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678494</xdr:colOff>
      <xdr:row>36</xdr:row>
      <xdr:rowOff>177451</xdr:rowOff>
    </xdr:from>
    <xdr:to>
      <xdr:col>1</xdr:col>
      <xdr:colOff>1972850</xdr:colOff>
      <xdr:row>49</xdr:row>
      <xdr:rowOff>104384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CF3522E-37FE-42D0-BC5C-F245FB2B6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083" y="9102246"/>
          <a:ext cx="1294356" cy="3267206"/>
        </a:xfrm>
        <a:prstGeom prst="rect">
          <a:avLst/>
        </a:prstGeom>
      </xdr:spPr>
    </xdr:pic>
    <xdr:clientData/>
  </xdr:twoCellAnchor>
  <xdr:twoCellAnchor editAs="oneCell">
    <xdr:from>
      <xdr:col>12</xdr:col>
      <xdr:colOff>584547</xdr:colOff>
      <xdr:row>1</xdr:row>
      <xdr:rowOff>104383</xdr:rowOff>
    </xdr:from>
    <xdr:to>
      <xdr:col>17</xdr:col>
      <xdr:colOff>563671</xdr:colOff>
      <xdr:row>40</xdr:row>
      <xdr:rowOff>125260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6859E05-6C23-4401-AFE6-40DFF2BC7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55013" y="334027"/>
          <a:ext cx="3110631" cy="99686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653142</xdr:colOff>
      <xdr:row>37</xdr:row>
      <xdr:rowOff>130629</xdr:rowOff>
    </xdr:from>
    <xdr:to>
      <xdr:col>1</xdr:col>
      <xdr:colOff>1947498</xdr:colOff>
      <xdr:row>50</xdr:row>
      <xdr:rowOff>143006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656C99D-DDAA-4549-A549-B253D5D93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8828" y="9296400"/>
          <a:ext cx="1294356" cy="3267206"/>
        </a:xfrm>
        <a:prstGeom prst="rect">
          <a:avLst/>
        </a:prstGeom>
      </xdr:spPr>
    </xdr:pic>
    <xdr:clientData/>
  </xdr:twoCellAnchor>
  <xdr:twoCellAnchor editAs="oneCell">
    <xdr:from>
      <xdr:col>12</xdr:col>
      <xdr:colOff>247650</xdr:colOff>
      <xdr:row>2</xdr:row>
      <xdr:rowOff>171450</xdr:rowOff>
    </xdr:from>
    <xdr:to>
      <xdr:col>22</xdr:col>
      <xdr:colOff>171449</xdr:colOff>
      <xdr:row>42</xdr:row>
      <xdr:rowOff>76200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FED83E2B-92FC-49B8-83DC-7CA265196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35600" y="742950"/>
          <a:ext cx="6210300" cy="9886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674914</xdr:colOff>
      <xdr:row>38</xdr:row>
      <xdr:rowOff>163285</xdr:rowOff>
    </xdr:from>
    <xdr:to>
      <xdr:col>1</xdr:col>
      <xdr:colOff>1969270</xdr:colOff>
      <xdr:row>51</xdr:row>
      <xdr:rowOff>175663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9922E0C-E508-4D8F-B8BA-E188A0ADE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0" y="9579428"/>
          <a:ext cx="1294356" cy="3267206"/>
        </a:xfrm>
        <a:prstGeom prst="rect">
          <a:avLst/>
        </a:prstGeom>
      </xdr:spPr>
    </xdr:pic>
    <xdr:clientData/>
  </xdr:twoCellAnchor>
  <xdr:twoCellAnchor editAs="oneCell">
    <xdr:from>
      <xdr:col>13</xdr:col>
      <xdr:colOff>21772</xdr:colOff>
      <xdr:row>1</xdr:row>
      <xdr:rowOff>337457</xdr:rowOff>
    </xdr:from>
    <xdr:to>
      <xdr:col>26</xdr:col>
      <xdr:colOff>264411</xdr:colOff>
      <xdr:row>40</xdr:row>
      <xdr:rowOff>223157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B8A68ED-8ECE-45FE-99DA-EBB169119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51236" y="582386"/>
          <a:ext cx="5753532" cy="9614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Normal="100" workbookViewId="0"/>
  </sheetViews>
  <sheetFormatPr defaultColWidth="9.140625" defaultRowHeight="15" x14ac:dyDescent="0.25"/>
  <sheetData>
    <row r="1" spans="1:11" x14ac:dyDescent="0.25">
      <c r="A1" s="5"/>
      <c r="B1" s="6"/>
      <c r="C1" s="6"/>
      <c r="D1" s="6"/>
      <c r="E1" s="6"/>
      <c r="F1" s="6"/>
      <c r="G1" s="6"/>
      <c r="H1" s="6"/>
      <c r="I1" s="6"/>
      <c r="J1" s="7"/>
      <c r="K1" s="8"/>
    </row>
    <row r="2" spans="1:11" x14ac:dyDescent="0.25">
      <c r="A2" s="9"/>
      <c r="B2" s="10"/>
      <c r="C2" s="10"/>
      <c r="D2" s="10"/>
      <c r="E2" s="10"/>
      <c r="F2" s="10"/>
      <c r="G2" s="10"/>
      <c r="H2" s="10"/>
      <c r="I2" s="10"/>
      <c r="J2" s="11"/>
      <c r="K2" s="8"/>
    </row>
    <row r="3" spans="1:11" x14ac:dyDescent="0.25">
      <c r="A3" s="9"/>
      <c r="B3" s="10"/>
      <c r="C3" s="10"/>
      <c r="D3" s="10"/>
      <c r="E3" s="10"/>
      <c r="F3" s="10"/>
      <c r="G3" s="10"/>
      <c r="H3" s="10"/>
      <c r="I3" s="10"/>
      <c r="J3" s="11"/>
      <c r="K3" s="8"/>
    </row>
    <row r="4" spans="1:11" x14ac:dyDescent="0.25">
      <c r="A4" s="9"/>
      <c r="B4" s="10"/>
      <c r="C4" s="10"/>
      <c r="D4" s="10"/>
      <c r="E4" s="10"/>
      <c r="F4" s="10"/>
      <c r="G4" s="10"/>
      <c r="H4" s="10"/>
      <c r="I4" s="10"/>
      <c r="J4" s="11"/>
      <c r="K4" s="8"/>
    </row>
    <row r="5" spans="1:11" x14ac:dyDescent="0.25">
      <c r="A5" s="9"/>
      <c r="B5" s="10"/>
      <c r="C5" s="10"/>
      <c r="D5" s="10"/>
      <c r="E5" s="10"/>
      <c r="F5" s="10"/>
      <c r="G5" s="10"/>
      <c r="H5" s="10"/>
      <c r="I5" s="10"/>
      <c r="J5" s="11"/>
      <c r="K5" s="8"/>
    </row>
    <row r="6" spans="1:11" x14ac:dyDescent="0.25">
      <c r="A6" s="9"/>
      <c r="B6" s="10"/>
      <c r="C6" s="10"/>
      <c r="D6" s="10"/>
      <c r="E6" s="10"/>
      <c r="F6" s="10"/>
      <c r="G6" s="10"/>
      <c r="H6" s="10"/>
      <c r="I6" s="10"/>
      <c r="J6" s="11"/>
      <c r="K6" s="8"/>
    </row>
    <row r="7" spans="1:11" x14ac:dyDescent="0.25">
      <c r="A7" s="9"/>
      <c r="B7" s="10"/>
      <c r="C7" s="10"/>
      <c r="D7" s="10"/>
      <c r="E7" s="10"/>
      <c r="F7" s="10"/>
      <c r="G7" s="10"/>
      <c r="H7" s="10"/>
      <c r="I7" s="10"/>
      <c r="J7" s="11"/>
      <c r="K7" s="8"/>
    </row>
    <row r="8" spans="1:11" x14ac:dyDescent="0.25">
      <c r="A8" s="9"/>
      <c r="B8" s="10"/>
      <c r="C8" s="10"/>
      <c r="D8" s="10"/>
      <c r="E8" s="10"/>
      <c r="F8" s="10"/>
      <c r="G8" s="10"/>
      <c r="H8" s="10"/>
      <c r="I8" s="10"/>
      <c r="J8" s="11"/>
      <c r="K8" s="8"/>
    </row>
    <row r="9" spans="1:11" x14ac:dyDescent="0.25">
      <c r="A9" s="9"/>
      <c r="B9" s="10"/>
      <c r="C9" s="10"/>
      <c r="D9" s="10"/>
      <c r="E9" s="10"/>
      <c r="F9" s="10"/>
      <c r="G9" s="10"/>
      <c r="H9" s="10"/>
      <c r="I9" s="10"/>
      <c r="J9" s="11"/>
      <c r="K9" s="8"/>
    </row>
    <row r="10" spans="1:11" x14ac:dyDescent="0.25">
      <c r="A10" s="9"/>
      <c r="B10" s="10"/>
      <c r="C10" s="10"/>
      <c r="D10" s="10"/>
      <c r="E10" s="10"/>
      <c r="F10" s="10"/>
      <c r="G10" s="10"/>
      <c r="H10" s="10"/>
      <c r="I10" s="10"/>
      <c r="J10" s="11"/>
      <c r="K10" s="8"/>
    </row>
    <row r="11" spans="1:11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1"/>
      <c r="K11" s="8"/>
    </row>
    <row r="12" spans="1:11" x14ac:dyDescent="0.25">
      <c r="A12" s="9"/>
      <c r="B12" s="10"/>
      <c r="C12" s="10"/>
      <c r="D12" s="10"/>
      <c r="E12" s="10"/>
      <c r="F12" s="10"/>
      <c r="G12" s="10"/>
      <c r="H12" s="10"/>
      <c r="I12" s="10"/>
      <c r="J12" s="11"/>
      <c r="K12" s="8"/>
    </row>
    <row r="13" spans="1:11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1"/>
      <c r="K13" s="8"/>
    </row>
    <row r="14" spans="1:11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1"/>
      <c r="K14" s="8"/>
    </row>
    <row r="15" spans="1:11" x14ac:dyDescent="0.25">
      <c r="A15" s="9"/>
      <c r="B15" s="10"/>
      <c r="C15" s="10"/>
      <c r="D15" s="10"/>
      <c r="E15" s="10"/>
      <c r="F15" s="10"/>
      <c r="G15" s="10"/>
      <c r="H15" s="10"/>
      <c r="I15" s="10"/>
      <c r="J15" s="11"/>
      <c r="K15" s="8"/>
    </row>
    <row r="16" spans="1:11" ht="15.75" thickBot="1" x14ac:dyDescent="0.3">
      <c r="A16" s="12"/>
      <c r="B16" s="13"/>
      <c r="C16" s="13"/>
      <c r="D16" s="13"/>
      <c r="E16" s="13"/>
      <c r="F16" s="13"/>
      <c r="G16" s="13"/>
      <c r="H16" s="13"/>
      <c r="I16" s="13"/>
      <c r="J16" s="14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</sheetData>
  <sheetProtection algorithmName="SHA-512" hashValue="+cTGOZRGmTePek79q7NcKQMTuRNQYqmXE1BbSztBR5XQtvteJB9h5vApa0AyLzApZP3KQrjlVkPTq5k3JvU2Jw==" saltValue="zL7IGRQo/LLDkFXIwkFUJA==" spinCount="100000" sheet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58"/>
  <sheetViews>
    <sheetView zoomScale="70" zoomScaleNormal="70" workbookViewId="0">
      <selection activeCell="D7" sqref="D7:E7"/>
    </sheetView>
  </sheetViews>
  <sheetFormatPr defaultColWidth="9.140625" defaultRowHeight="18.75" x14ac:dyDescent="0.3"/>
  <cols>
    <col min="1" max="1" width="4.7109375" style="28" customWidth="1"/>
    <col min="2" max="3" width="43.7109375" style="28" customWidth="1"/>
    <col min="4" max="5" width="14.7109375" style="34" customWidth="1"/>
    <col min="6" max="6" width="3.7109375" style="28" customWidth="1"/>
    <col min="7" max="7" width="79.7109375" style="28" customWidth="1"/>
    <col min="8" max="8" width="20.7109375" style="28" customWidth="1"/>
    <col min="9" max="10" width="17.7109375" style="28" customWidth="1"/>
    <col min="11" max="11" width="10.28515625" style="28" hidden="1" customWidth="1"/>
    <col min="12" max="12" width="9.140625" style="28" hidden="1" customWidth="1"/>
    <col min="13" max="17" width="9.140625" style="28"/>
    <col min="18" max="18" width="9" style="28" customWidth="1"/>
    <col min="19" max="19" width="47.7109375" style="28" hidden="1" customWidth="1"/>
    <col min="20" max="20" width="21.28515625" style="28" hidden="1" customWidth="1"/>
    <col min="21" max="16384" width="9.140625" style="28"/>
  </cols>
  <sheetData>
    <row r="1" spans="2:20" x14ac:dyDescent="0.3">
      <c r="C1" s="33"/>
    </row>
    <row r="2" spans="2:20" s="27" customFormat="1" ht="27.6" customHeight="1" x14ac:dyDescent="0.25">
      <c r="B2" s="126" t="s">
        <v>32</v>
      </c>
      <c r="C2" s="126"/>
      <c r="D2" s="126"/>
      <c r="E2" s="126"/>
      <c r="F2" s="126"/>
      <c r="G2" s="126"/>
      <c r="H2" s="126"/>
      <c r="I2" s="126"/>
      <c r="J2" s="126"/>
      <c r="K2" s="126"/>
      <c r="S2" s="125" t="s">
        <v>80</v>
      </c>
      <c r="T2" s="27" t="s">
        <v>78</v>
      </c>
    </row>
    <row r="3" spans="2:20" s="35" customFormat="1" ht="26.1" customHeight="1" x14ac:dyDescent="0.25">
      <c r="B3" s="126" t="s">
        <v>31</v>
      </c>
      <c r="C3" s="126"/>
      <c r="D3" s="126"/>
      <c r="E3" s="127"/>
      <c r="F3" s="127"/>
      <c r="G3" s="127"/>
      <c r="H3" s="127"/>
      <c r="I3" s="127"/>
      <c r="J3" s="127"/>
      <c r="K3" s="127"/>
      <c r="S3" s="35" t="s">
        <v>131</v>
      </c>
      <c r="T3" s="27" t="s">
        <v>124</v>
      </c>
    </row>
    <row r="4" spans="2:20" s="35" customFormat="1" ht="20.100000000000001" customHeight="1" x14ac:dyDescent="0.3">
      <c r="C4" s="36"/>
      <c r="D4" s="36"/>
      <c r="E4" s="36"/>
      <c r="G4" s="37"/>
      <c r="H4" s="37"/>
      <c r="I4" s="37"/>
      <c r="J4" s="37"/>
    </row>
    <row r="5" spans="2:20" s="35" customFormat="1" ht="20.100000000000001" customHeight="1" x14ac:dyDescent="0.25">
      <c r="B5" s="134" t="s">
        <v>30</v>
      </c>
      <c r="C5" s="134"/>
      <c r="D5" s="134"/>
      <c r="E5" s="134"/>
      <c r="G5" s="145" t="s">
        <v>42</v>
      </c>
      <c r="H5" s="145"/>
      <c r="I5" s="145"/>
      <c r="J5" s="145"/>
    </row>
    <row r="6" spans="2:20" s="27" customFormat="1" ht="20.100000000000001" customHeight="1" thickBot="1" x14ac:dyDescent="0.3">
      <c r="C6" s="38"/>
      <c r="D6" s="38"/>
      <c r="E6" s="38"/>
      <c r="F6" s="35"/>
      <c r="G6" s="38"/>
      <c r="H6" s="38"/>
      <c r="I6" s="38"/>
      <c r="J6" s="38"/>
    </row>
    <row r="7" spans="2:20" s="27" customFormat="1" ht="20.100000000000001" customHeight="1" x14ac:dyDescent="0.25">
      <c r="B7" s="154" t="s">
        <v>35</v>
      </c>
      <c r="C7" s="155"/>
      <c r="D7" s="146">
        <v>2600</v>
      </c>
      <c r="E7" s="147"/>
      <c r="G7" s="137" t="s">
        <v>43</v>
      </c>
      <c r="H7" s="138"/>
      <c r="I7" s="88" t="s">
        <v>44</v>
      </c>
      <c r="J7" s="101">
        <f>IF(D18=S21,D7-45,D7-39)</f>
        <v>2555</v>
      </c>
    </row>
    <row r="8" spans="2:20" s="27" customFormat="1" ht="20.100000000000001" customHeight="1" thickBot="1" x14ac:dyDescent="0.3">
      <c r="B8" s="168" t="s">
        <v>36</v>
      </c>
      <c r="C8" s="169"/>
      <c r="D8" s="148">
        <v>1800</v>
      </c>
      <c r="E8" s="149"/>
      <c r="G8" s="139"/>
      <c r="H8" s="140"/>
      <c r="I8" s="89" t="s">
        <v>45</v>
      </c>
      <c r="J8" s="102">
        <f>ROUNDUP(IF(AND(OR(D20=S57,D20=S58),D9=S48),(D8-20+D11*12)/D10,
IF(AND(OR(D20=S57,D20=S58),D9&lt;&gt;S48),(D8-10+D11*12)/D10,(D8+D11*12)/D10)),0)</f>
        <v>901</v>
      </c>
    </row>
    <row r="9" spans="2:20" s="27" customFormat="1" ht="20.100000000000001" customHeight="1" x14ac:dyDescent="0.25">
      <c r="B9" s="201" t="s">
        <v>37</v>
      </c>
      <c r="C9" s="202"/>
      <c r="D9" s="152" t="s">
        <v>16</v>
      </c>
      <c r="E9" s="153"/>
      <c r="G9" s="39"/>
      <c r="H9" s="39"/>
      <c r="I9" s="40"/>
      <c r="J9" s="21"/>
    </row>
    <row r="10" spans="2:20" s="27" customFormat="1" ht="20.100000000000001" customHeight="1" thickBot="1" x14ac:dyDescent="0.3">
      <c r="B10" s="201" t="s">
        <v>38</v>
      </c>
      <c r="C10" s="202"/>
      <c r="D10" s="150">
        <f>IF(D9=S45,2,IF(D9=S46,3,IF(D9=S47,4,IF(D9=S48,4,IF(D9=S49,5)))))</f>
        <v>2</v>
      </c>
      <c r="E10" s="151"/>
      <c r="G10" s="39"/>
      <c r="H10" s="39"/>
      <c r="I10" s="40"/>
      <c r="J10" s="1"/>
      <c r="S10" s="27" t="s">
        <v>88</v>
      </c>
    </row>
    <row r="11" spans="2:20" s="27" customFormat="1" ht="20.100000000000001" customHeight="1" x14ac:dyDescent="0.25">
      <c r="B11" s="201" t="s">
        <v>39</v>
      </c>
      <c r="C11" s="202"/>
      <c r="D11" s="150">
        <f>IF(D9=S45,1,IF(D9=S46,2,IF(D9=S47,3,IF(D9=S48,2,IF(D9=S49,4)))))</f>
        <v>1</v>
      </c>
      <c r="E11" s="151"/>
      <c r="G11" s="141" t="s">
        <v>46</v>
      </c>
      <c r="H11" s="142"/>
      <c r="I11" s="88" t="s">
        <v>63</v>
      </c>
      <c r="J11" s="101">
        <f>ROUNDDOWN(J7-1.6*D13-26*D14-3.5*2-26*D15,0)</f>
        <v>2548</v>
      </c>
      <c r="K11" s="76"/>
      <c r="S11" s="27" t="s">
        <v>106</v>
      </c>
    </row>
    <row r="12" spans="2:20" s="27" customFormat="1" ht="20.100000000000001" customHeight="1" thickBot="1" x14ac:dyDescent="0.3">
      <c r="B12" s="161" t="s">
        <v>40</v>
      </c>
      <c r="C12" s="162"/>
      <c r="D12" s="135">
        <v>0</v>
      </c>
      <c r="E12" s="136"/>
      <c r="G12" s="143"/>
      <c r="H12" s="144"/>
      <c r="I12" s="89" t="s">
        <v>45</v>
      </c>
      <c r="J12" s="102">
        <f>J8-4</f>
        <v>897</v>
      </c>
    </row>
    <row r="13" spans="2:20" s="27" customFormat="1" ht="20.100000000000001" customHeight="1" thickBot="1" x14ac:dyDescent="0.3">
      <c r="B13" s="163" t="s">
        <v>68</v>
      </c>
      <c r="C13" s="164"/>
      <c r="D13" s="135">
        <v>0</v>
      </c>
      <c r="E13" s="136"/>
      <c r="G13" s="39"/>
      <c r="H13" s="39"/>
      <c r="I13" s="41"/>
      <c r="J13" s="42"/>
    </row>
    <row r="14" spans="2:20" s="27" customFormat="1" ht="20.100000000000001" customHeight="1" x14ac:dyDescent="0.25">
      <c r="B14" s="163" t="s">
        <v>66</v>
      </c>
      <c r="C14" s="164"/>
      <c r="D14" s="135">
        <v>0</v>
      </c>
      <c r="E14" s="136"/>
      <c r="G14" s="103" t="s">
        <v>59</v>
      </c>
      <c r="H14" s="104" t="s">
        <v>60</v>
      </c>
      <c r="I14" s="88" t="s">
        <v>61</v>
      </c>
      <c r="J14" s="105" t="s">
        <v>57</v>
      </c>
    </row>
    <row r="15" spans="2:20" s="27" customFormat="1" ht="20.100000000000001" customHeight="1" x14ac:dyDescent="0.3">
      <c r="B15" s="163" t="s">
        <v>67</v>
      </c>
      <c r="C15" s="165"/>
      <c r="D15" s="135">
        <v>0</v>
      </c>
      <c r="E15" s="136"/>
      <c r="G15" s="121" t="s">
        <v>79</v>
      </c>
      <c r="H15" s="43" t="s">
        <v>1</v>
      </c>
      <c r="I15" s="116">
        <f>D8-2</f>
        <v>1798</v>
      </c>
      <c r="J15" s="2">
        <v>1</v>
      </c>
      <c r="L15" s="44"/>
      <c r="S15" s="27" t="s">
        <v>125</v>
      </c>
    </row>
    <row r="16" spans="2:20" s="27" customFormat="1" ht="20.100000000000001" customHeight="1" x14ac:dyDescent="0.3">
      <c r="B16" s="163" t="s">
        <v>70</v>
      </c>
      <c r="C16" s="164"/>
      <c r="D16" s="135">
        <v>0</v>
      </c>
      <c r="E16" s="136"/>
      <c r="G16" s="121" t="str">
        <f>IF(D18=S21,S2,S3)</f>
        <v>Double Bottom Track</v>
      </c>
      <c r="H16" s="43" t="str">
        <f>IF(D18=S21,T2,T3)</f>
        <v>CKRU0504/0009</v>
      </c>
      <c r="I16" s="116">
        <f>D8-2</f>
        <v>1798</v>
      </c>
      <c r="J16" s="2">
        <f>IF(D18=S21,1,2)</f>
        <v>1</v>
      </c>
      <c r="L16" s="44"/>
      <c r="S16" s="27" t="s">
        <v>113</v>
      </c>
    </row>
    <row r="17" spans="2:19" s="27" customFormat="1" ht="20.100000000000001" customHeight="1" x14ac:dyDescent="0.3">
      <c r="B17" s="161" t="s">
        <v>71</v>
      </c>
      <c r="C17" s="162"/>
      <c r="D17" s="100">
        <v>140</v>
      </c>
      <c r="E17" s="23">
        <v>0</v>
      </c>
      <c r="G17" s="24" t="s">
        <v>81</v>
      </c>
      <c r="H17" s="43" t="s">
        <v>2</v>
      </c>
      <c r="I17" s="117">
        <f>J7</f>
        <v>2555</v>
      </c>
      <c r="J17" s="3">
        <f>D10*2</f>
        <v>4</v>
      </c>
      <c r="K17" s="27">
        <v>0.29799999999999999</v>
      </c>
      <c r="L17" s="44">
        <f t="shared" ref="L17:L34" si="0">I17*K17*J17/1000</f>
        <v>3.04556</v>
      </c>
    </row>
    <row r="18" spans="2:19" s="27" customFormat="1" ht="20.100000000000001" customHeight="1" x14ac:dyDescent="0.3">
      <c r="B18" s="170" t="s">
        <v>131</v>
      </c>
      <c r="C18" s="171"/>
      <c r="D18" s="199" t="s">
        <v>115</v>
      </c>
      <c r="E18" s="200"/>
      <c r="G18" s="24" t="s">
        <v>82</v>
      </c>
      <c r="H18" s="43" t="s">
        <v>3</v>
      </c>
      <c r="I18" s="117">
        <f>J8-2*5</f>
        <v>891</v>
      </c>
      <c r="J18" s="3">
        <f>(D13+2)*D10</f>
        <v>4</v>
      </c>
      <c r="K18" s="27">
        <v>6.8000000000000005E-2</v>
      </c>
      <c r="L18" s="44">
        <f t="shared" si="0"/>
        <v>0.24235200000000001</v>
      </c>
    </row>
    <row r="19" spans="2:19" s="27" customFormat="1" ht="20.100000000000001" customHeight="1" x14ac:dyDescent="0.3">
      <c r="B19" s="168" t="s">
        <v>41</v>
      </c>
      <c r="C19" s="169"/>
      <c r="D19" s="128" t="s">
        <v>115</v>
      </c>
      <c r="E19" s="129"/>
      <c r="G19" s="24" t="s">
        <v>83</v>
      </c>
      <c r="H19" s="45" t="s">
        <v>4</v>
      </c>
      <c r="I19" s="117">
        <f>IF(J19&lt;&gt;0,I18,0)</f>
        <v>0</v>
      </c>
      <c r="J19" s="3">
        <f>D14*D10-IF(D14&gt;0,IF(E17&gt;0,D10,IF(D16&gt;0,D10,0)),0)</f>
        <v>0</v>
      </c>
      <c r="K19" s="27">
        <v>0.30499999999999999</v>
      </c>
      <c r="L19" s="44">
        <f t="shared" si="0"/>
        <v>0</v>
      </c>
    </row>
    <row r="20" spans="2:19" s="27" customFormat="1" ht="20.100000000000001" customHeight="1" x14ac:dyDescent="0.3">
      <c r="B20" s="166" t="s">
        <v>69</v>
      </c>
      <c r="C20" s="167"/>
      <c r="D20" s="194" t="s">
        <v>116</v>
      </c>
      <c r="E20" s="195"/>
      <c r="G20" s="24" t="s">
        <v>84</v>
      </c>
      <c r="H20" s="45" t="s">
        <v>4</v>
      </c>
      <c r="I20" s="117">
        <f>IF(J20&lt;&gt;0,I18-D17*E17-200*D16,0)</f>
        <v>0</v>
      </c>
      <c r="J20" s="3">
        <f>IF(D14&gt;0,IF(E17&gt;0,D10,IF(D16&gt;0,D10,0)),0)</f>
        <v>0</v>
      </c>
      <c r="K20" s="27">
        <v>0.30499999999999999</v>
      </c>
      <c r="L20" s="44">
        <f t="shared" si="0"/>
        <v>0</v>
      </c>
      <c r="S20" s="27" t="s">
        <v>114</v>
      </c>
    </row>
    <row r="21" spans="2:19" s="27" customFormat="1" ht="20.100000000000001" customHeight="1" thickBot="1" x14ac:dyDescent="0.35">
      <c r="B21" s="130" t="s">
        <v>47</v>
      </c>
      <c r="C21" s="131"/>
      <c r="D21" s="132" t="s">
        <v>115</v>
      </c>
      <c r="E21" s="133"/>
      <c r="G21" s="24" t="s">
        <v>85</v>
      </c>
      <c r="H21" s="45" t="s">
        <v>5</v>
      </c>
      <c r="I21" s="118">
        <f>J7-20</f>
        <v>2535</v>
      </c>
      <c r="J21" s="4">
        <f>IF(J8&lt;1000,D10*2,D10*3)</f>
        <v>4</v>
      </c>
      <c r="K21" s="27">
        <v>0.41299999999999998</v>
      </c>
      <c r="L21" s="44">
        <f t="shared" si="0"/>
        <v>4.1878199999999994</v>
      </c>
      <c r="S21" s="27" t="s">
        <v>115</v>
      </c>
    </row>
    <row r="22" spans="2:19" s="27" customFormat="1" ht="20.100000000000001" customHeight="1" thickBot="1" x14ac:dyDescent="0.35">
      <c r="G22" s="24" t="s">
        <v>86</v>
      </c>
      <c r="H22" s="47" t="s">
        <v>6</v>
      </c>
      <c r="I22" s="118">
        <f>IF(D15&lt;&gt;0,I18,0)</f>
        <v>0</v>
      </c>
      <c r="J22" s="4">
        <f>D15*D10</f>
        <v>0</v>
      </c>
      <c r="K22" s="27">
        <v>0.29499999999999998</v>
      </c>
      <c r="L22" s="44">
        <f t="shared" si="0"/>
        <v>0</v>
      </c>
    </row>
    <row r="23" spans="2:19" s="27" customFormat="1" ht="20.100000000000001" customHeight="1" x14ac:dyDescent="0.3">
      <c r="B23" s="157" t="s">
        <v>74</v>
      </c>
      <c r="C23" s="158"/>
      <c r="G23" s="46" t="s">
        <v>87</v>
      </c>
      <c r="H23" s="43" t="s">
        <v>6</v>
      </c>
      <c r="I23" s="117">
        <f>IF(E17&lt;&gt;0,D17,0)</f>
        <v>0</v>
      </c>
      <c r="J23" s="4">
        <f>E17*D10</f>
        <v>0</v>
      </c>
      <c r="K23" s="27">
        <v>0.29499999999999998</v>
      </c>
      <c r="L23" s="44">
        <f t="shared" si="0"/>
        <v>0</v>
      </c>
    </row>
    <row r="24" spans="2:19" s="27" customFormat="1" ht="20.100000000000001" customHeight="1" thickBot="1" x14ac:dyDescent="0.35">
      <c r="B24" s="159" t="s">
        <v>88</v>
      </c>
      <c r="C24" s="160"/>
      <c r="G24" s="46" t="s">
        <v>89</v>
      </c>
      <c r="H24" s="43" t="s">
        <v>7</v>
      </c>
      <c r="I24" s="117">
        <f>IF(OR(E17&lt;&gt;0,D15&lt;&gt;0),23,0)</f>
        <v>0</v>
      </c>
      <c r="J24" s="4">
        <f>(E17+D15)*2*D10</f>
        <v>0</v>
      </c>
      <c r="K24" s="27">
        <v>9.799999999999999E-2</v>
      </c>
      <c r="L24" s="44">
        <f t="shared" si="0"/>
        <v>0</v>
      </c>
    </row>
    <row r="25" spans="2:19" s="27" customFormat="1" ht="20.100000000000001" customHeight="1" x14ac:dyDescent="0.3">
      <c r="G25" s="71" t="s">
        <v>88</v>
      </c>
      <c r="H25" s="43" t="s">
        <v>8</v>
      </c>
      <c r="I25" s="119">
        <f>IF(AND(B24='Visible Top Track'!S10,OR(D13&lt;&gt;0,D14&lt;&gt;0,D15&lt;&gt;0)),150,0)</f>
        <v>0</v>
      </c>
      <c r="J25" s="15">
        <f>IF(B24=S10,(D13*2+J19+J20+J22)*2,0)</f>
        <v>0</v>
      </c>
      <c r="K25" s="27">
        <v>0.23499999999999996</v>
      </c>
      <c r="L25" s="44">
        <f t="shared" si="0"/>
        <v>0</v>
      </c>
    </row>
    <row r="26" spans="2:19" s="27" customFormat="1" ht="20.100000000000001" customHeight="1" x14ac:dyDescent="0.3">
      <c r="B26" s="90" t="s">
        <v>48</v>
      </c>
      <c r="C26" s="80"/>
      <c r="D26" s="80"/>
      <c r="E26" s="80"/>
      <c r="G26" s="71" t="s">
        <v>88</v>
      </c>
      <c r="H26" s="47" t="s">
        <v>8</v>
      </c>
      <c r="I26" s="117">
        <f>IF(AND(B24='Visible Top Track'!S10,OR(D13&lt;&gt;0,D14&lt;&gt;0,D15&lt;&gt;0),J8&lt;1000),J8-45-300-80,0)</f>
        <v>0</v>
      </c>
      <c r="J26" s="17">
        <f>IF(AND(J8&lt;1000,B24=S10),(D14+D13+D15)*D10,0)</f>
        <v>0</v>
      </c>
      <c r="K26" s="27">
        <v>0.23499999999999996</v>
      </c>
      <c r="L26" s="44">
        <f t="shared" si="0"/>
        <v>0</v>
      </c>
    </row>
    <row r="27" spans="2:19" s="27" customFormat="1" ht="20.100000000000001" customHeight="1" thickBot="1" x14ac:dyDescent="0.35">
      <c r="G27" s="71" t="s">
        <v>88</v>
      </c>
      <c r="H27" s="47" t="s">
        <v>8</v>
      </c>
      <c r="I27" s="117">
        <f>IF(AND(B24='Visible Top Track'!S10,OR(D13&lt;&gt;0,D14&lt;&gt;0,D15&lt;&gt;0),J8&gt;=1000),(J8-45-300-120)/2,0)</f>
        <v>0</v>
      </c>
      <c r="J27" s="17">
        <f>IF(AND(J8&gt;=1000,B24=S10),(D14+D13+D15)*D10*2,0)</f>
        <v>0</v>
      </c>
      <c r="K27" s="27">
        <v>0.23499999999999996</v>
      </c>
      <c r="L27" s="44">
        <f t="shared" si="0"/>
        <v>0</v>
      </c>
    </row>
    <row r="28" spans="2:19" s="27" customFormat="1" ht="20.100000000000001" customHeight="1" thickBot="1" x14ac:dyDescent="0.35">
      <c r="B28" s="91" t="s">
        <v>49</v>
      </c>
      <c r="C28" s="51">
        <f>SUM(D13:E15)+1</f>
        <v>1</v>
      </c>
      <c r="D28" s="197" t="str">
        <f>IF(C28&gt;5,S37,S38)</f>
        <v xml:space="preserve"> </v>
      </c>
      <c r="E28" s="198"/>
      <c r="G28" s="49" t="s">
        <v>100</v>
      </c>
      <c r="H28" s="47" t="s">
        <v>14</v>
      </c>
      <c r="I28" s="119">
        <f>IF(OR(C36=S16,AND(C32=S16,D36=0)),J12-2-75,0)</f>
        <v>820</v>
      </c>
      <c r="J28" s="17">
        <f>IF(I28=0,0,IF(AND(C36=S16,D36&lt;&gt;0),1,IF(C32=S16,1,0))*D10)</f>
        <v>2</v>
      </c>
      <c r="K28" s="27">
        <v>0.60799999999999998</v>
      </c>
      <c r="L28" s="44">
        <f t="shared" si="0"/>
        <v>0.99712000000000001</v>
      </c>
    </row>
    <row r="29" spans="2:19" s="27" customFormat="1" ht="20.100000000000001" customHeight="1" x14ac:dyDescent="0.3">
      <c r="G29" s="49" t="s">
        <v>90</v>
      </c>
      <c r="H29" s="47" t="s">
        <v>13</v>
      </c>
      <c r="I29" s="119">
        <f>IF(OR(AND(C32=S16,D32&lt;&gt;0),AND(C33=S16,D33&lt;&gt;0),AND(C34=S16,D34&lt;&gt;0),AND(C35=S16,D35&lt;&gt;0),AND(C36=S16,D36&lt;&gt;0)),J12-2-75,0)</f>
        <v>820</v>
      </c>
      <c r="J29" s="17">
        <f>IF(I29&lt;&gt;0,(IF(AND(D36=0,C32=S16),1,IF(AND(D36&lt;&gt;0,C32=S16),2,0))+IF(AND(C32=S16,D32&gt;=1000,D32&lt;1500),1,0)+IF(AND(C32=S16,D32&gt;=1500,D32&lt;2000),2,0)+IF(AND(C32=S16,D32&gt;=2000),3,0)+IF(AND(D33&lt;&gt;0,C33=S16),2,0)+IF(AND(C33=S16,D33&gt;=1000,D33&lt;1500),1,0)+IF(AND(C33=S16,D33&gt;=1500,D33&lt;2000),2,0)+IF(AND(C33=S16,D33&gt;=2000),3,0)+IF(AND(D34&lt;&gt;0,C34=S16),2,0)+IF(AND(C34=S16,D34&gt;=1000,D34&lt;1500),1,0)+IF(AND(C34=S16,D34&gt;=1500,D34&lt;2000),2,0)+IF(AND(C34=S16,D34&gt;=2000),3,0)+IF(AND(D35&lt;&gt;0,C35=S16),2,0)+IF(AND(C35=S16,D35&gt;=1000,D35&lt;1500),1,0)+IF(AND(C35=S16,D35&gt;=1500,D35&lt;2000),2,0)+IF(AND(C35=S16,D35&gt;=2000),3,0)+IF(AND(D36&lt;&gt;0,C36=S16),1,0)+IF(AND(C36=S16,D36&gt;=1000,D36&lt;1500),1,0)+IF(AND(C36=S16,D36&gt;=1500,D36&lt;2000),2,0)+IF(AND(C36=S16,D36&gt;=2000),3,0))*D10,0)</f>
        <v>8</v>
      </c>
      <c r="K29" s="27">
        <v>0.30499999999999999</v>
      </c>
      <c r="L29" s="44">
        <f t="shared" si="0"/>
        <v>2.0007999999999999</v>
      </c>
    </row>
    <row r="30" spans="2:19" s="27" customFormat="1" ht="20.100000000000001" customHeight="1" thickBot="1" x14ac:dyDescent="0.35">
      <c r="F30" s="96"/>
      <c r="G30" s="49" t="s">
        <v>91</v>
      </c>
      <c r="H30" s="47" t="s">
        <v>13</v>
      </c>
      <c r="I30" s="119">
        <f>IF(C32=$S$16,D32,0)</f>
        <v>2548</v>
      </c>
      <c r="J30" s="17">
        <f>IF(I30&lt;&gt;0,IF(C32=$S$16,2,0)*D10,0)</f>
        <v>4</v>
      </c>
      <c r="K30" s="27">
        <v>0.30499999999999999</v>
      </c>
      <c r="L30" s="44">
        <f t="shared" si="0"/>
        <v>3.1085599999999998</v>
      </c>
    </row>
    <row r="31" spans="2:19" s="27" customFormat="1" ht="20.100000000000001" customHeight="1" x14ac:dyDescent="0.3">
      <c r="B31" s="93" t="s">
        <v>55</v>
      </c>
      <c r="C31" s="94" t="s">
        <v>56</v>
      </c>
      <c r="D31" s="94" t="s">
        <v>44</v>
      </c>
      <c r="E31" s="95" t="s">
        <v>45</v>
      </c>
      <c r="F31" s="53">
        <f>IF(D32&lt;&gt;0,1,0)</f>
        <v>1</v>
      </c>
      <c r="G31" s="49" t="s">
        <v>92</v>
      </c>
      <c r="H31" s="47" t="s">
        <v>13</v>
      </c>
      <c r="I31" s="119">
        <f>IF(C33=$S$16,D33,0)</f>
        <v>0</v>
      </c>
      <c r="J31" s="17">
        <f>IF(I31&lt;&gt;0,IF(C33=$S$16,2,0)*D10,0)</f>
        <v>0</v>
      </c>
      <c r="K31" s="27">
        <v>0.30499999999999999</v>
      </c>
      <c r="L31" s="44">
        <f t="shared" si="0"/>
        <v>0</v>
      </c>
    </row>
    <row r="32" spans="2:19" s="27" customFormat="1" ht="20.100000000000001" customHeight="1" x14ac:dyDescent="0.3">
      <c r="B32" s="87" t="s">
        <v>50</v>
      </c>
      <c r="C32" s="16" t="s">
        <v>113</v>
      </c>
      <c r="D32" s="97">
        <f>J11-SUM(D33:D36)</f>
        <v>2548</v>
      </c>
      <c r="E32" s="98">
        <f>IF(C32=$S$16,$J$12-2,$J$12)</f>
        <v>895</v>
      </c>
      <c r="F32" s="53">
        <f>IF(D33&lt;&gt;0,1,0)</f>
        <v>0</v>
      </c>
      <c r="G32" s="49" t="s">
        <v>93</v>
      </c>
      <c r="H32" s="47" t="s">
        <v>13</v>
      </c>
      <c r="I32" s="119">
        <f>IF(C34=$S$16,D34,0)</f>
        <v>0</v>
      </c>
      <c r="J32" s="17">
        <f>IF(I32&lt;&gt;0,IF(C34=$S$16,2,0)*D10,0)</f>
        <v>0</v>
      </c>
      <c r="K32" s="27">
        <v>0.30499999999999999</v>
      </c>
      <c r="L32" s="44">
        <f t="shared" si="0"/>
        <v>0</v>
      </c>
    </row>
    <row r="33" spans="2:19" s="27" customFormat="1" ht="20.100000000000001" customHeight="1" x14ac:dyDescent="0.3">
      <c r="B33" s="87" t="s">
        <v>51</v>
      </c>
      <c r="C33" s="16" t="s">
        <v>125</v>
      </c>
      <c r="D33" s="110">
        <v>0</v>
      </c>
      <c r="E33" s="98">
        <f t="shared" ref="E33:E36" si="1">IF(C33=$S$16,$J$12-2,$J$12)</f>
        <v>897</v>
      </c>
      <c r="F33" s="53">
        <f>IF(D34&lt;&gt;0,1,0)</f>
        <v>0</v>
      </c>
      <c r="G33" s="49" t="s">
        <v>94</v>
      </c>
      <c r="H33" s="47" t="s">
        <v>13</v>
      </c>
      <c r="I33" s="119">
        <f>IF(C35=$S$16,D35,0)</f>
        <v>0</v>
      </c>
      <c r="J33" s="17">
        <f>IF(I33&lt;&gt;0,IF(C35=$S$16,2,0)*D10,0)</f>
        <v>0</v>
      </c>
      <c r="K33" s="27">
        <v>0.30499999999999999</v>
      </c>
      <c r="L33" s="44">
        <f t="shared" si="0"/>
        <v>0</v>
      </c>
      <c r="S33" s="90" t="s">
        <v>119</v>
      </c>
    </row>
    <row r="34" spans="2:19" s="27" customFormat="1" ht="20.100000000000001" customHeight="1" thickBot="1" x14ac:dyDescent="0.35">
      <c r="B34" s="87" t="s">
        <v>52</v>
      </c>
      <c r="C34" s="16" t="s">
        <v>125</v>
      </c>
      <c r="D34" s="110">
        <v>0</v>
      </c>
      <c r="E34" s="98">
        <f t="shared" si="1"/>
        <v>897</v>
      </c>
      <c r="F34" s="53">
        <f>IF(D35&lt;&gt;0,1,0)</f>
        <v>0</v>
      </c>
      <c r="G34" s="49" t="s">
        <v>95</v>
      </c>
      <c r="H34" s="47" t="s">
        <v>13</v>
      </c>
      <c r="I34" s="119">
        <f>IF(C36=$S$16,D36,0)</f>
        <v>0</v>
      </c>
      <c r="J34" s="17">
        <f>IF(I34&lt;&gt;0,IF(C36=$S$16,2,0)*D10,0)</f>
        <v>0</v>
      </c>
      <c r="K34" s="27">
        <v>0.30499999999999999</v>
      </c>
      <c r="L34" s="44">
        <f t="shared" si="0"/>
        <v>0</v>
      </c>
      <c r="S34" s="90" t="s">
        <v>120</v>
      </c>
    </row>
    <row r="35" spans="2:19" s="27" customFormat="1" ht="20.100000000000001" customHeight="1" thickBot="1" x14ac:dyDescent="0.3">
      <c r="B35" s="87" t="s">
        <v>53</v>
      </c>
      <c r="C35" s="16" t="s">
        <v>125</v>
      </c>
      <c r="D35" s="110">
        <v>0</v>
      </c>
      <c r="E35" s="98">
        <f t="shared" si="1"/>
        <v>897</v>
      </c>
      <c r="F35" s="53">
        <f>IF(D36&lt;&gt;0,1,0)</f>
        <v>0</v>
      </c>
      <c r="G35" s="81"/>
      <c r="H35" s="79"/>
      <c r="I35" s="21"/>
      <c r="J35" s="82"/>
      <c r="L35" s="58">
        <f>SUM(L17:L34)/D10</f>
        <v>6.7911059999999992</v>
      </c>
    </row>
    <row r="36" spans="2:19" s="27" customFormat="1" ht="20.100000000000001" customHeight="1" thickBot="1" x14ac:dyDescent="0.3">
      <c r="B36" s="92" t="s">
        <v>54</v>
      </c>
      <c r="C36" s="18" t="s">
        <v>125</v>
      </c>
      <c r="D36" s="111">
        <v>0</v>
      </c>
      <c r="E36" s="99">
        <f t="shared" si="1"/>
        <v>897</v>
      </c>
      <c r="G36" s="106" t="s">
        <v>62</v>
      </c>
      <c r="H36" s="104" t="s">
        <v>60</v>
      </c>
      <c r="I36" s="187" t="s">
        <v>57</v>
      </c>
      <c r="J36" s="188"/>
    </row>
    <row r="37" spans="2:19" s="27" customFormat="1" ht="20.100000000000001" customHeight="1" x14ac:dyDescent="0.25">
      <c r="G37" s="24" t="s">
        <v>96</v>
      </c>
      <c r="H37" s="47" t="s">
        <v>10</v>
      </c>
      <c r="I37" s="189">
        <f>IF(J8&gt;=1000,D10*1.5,D10)</f>
        <v>2</v>
      </c>
      <c r="J37" s="191"/>
      <c r="L37" s="27">
        <f>IF(C32=$S$15,D32*E32/1000000*13,IF(C32=$S$16,D32*E32/1000000*11))</f>
        <v>25.085060000000002</v>
      </c>
      <c r="S37" s="27" t="s">
        <v>121</v>
      </c>
    </row>
    <row r="38" spans="2:19" s="27" customFormat="1" ht="20.100000000000001" customHeight="1" x14ac:dyDescent="0.25">
      <c r="C38" s="26" t="str">
        <f>IF((SUM(F31:F35)/C28)&lt;&gt;1,S33,S34)</f>
        <v>Correct insert heights</v>
      </c>
      <c r="D38" s="34">
        <f>IF(C38=S34,1,0)</f>
        <v>1</v>
      </c>
      <c r="G38" s="24" t="s">
        <v>129</v>
      </c>
      <c r="H38" s="25" t="s">
        <v>23</v>
      </c>
      <c r="I38" s="189">
        <f>IF(L45&lt;30,ROUNDUP(D12/2,0),0)</f>
        <v>0</v>
      </c>
      <c r="J38" s="190"/>
      <c r="L38" s="27">
        <f>IF(C33=$S$15,D33*E33/1000000*13,IF(C33=$S$16,D33*E33/1000000*11))</f>
        <v>0</v>
      </c>
      <c r="S38" s="27" t="s">
        <v>0</v>
      </c>
    </row>
    <row r="39" spans="2:19" s="27" customFormat="1" ht="20.100000000000001" customHeight="1" x14ac:dyDescent="0.25">
      <c r="G39" s="24" t="s">
        <v>129</v>
      </c>
      <c r="H39" s="25" t="s">
        <v>24</v>
      </c>
      <c r="I39" s="189">
        <f>IF(AND(L45&gt;=30,L45&lt;50),ROUNDUP(D12/2,0),0)</f>
        <v>0</v>
      </c>
      <c r="J39" s="190"/>
      <c r="L39" s="27">
        <f>IF(C34=$S$15,D34*E34/1000000*13,IF(C34=$S$16,D34*E34/1000000*11))</f>
        <v>0</v>
      </c>
      <c r="S39" s="27" t="s">
        <v>122</v>
      </c>
    </row>
    <row r="40" spans="2:19" s="27" customFormat="1" ht="20.100000000000001" customHeight="1" x14ac:dyDescent="0.25">
      <c r="C40" s="196" t="str">
        <f>IF(OR(AND(C32=S16,D32&lt;130,D32&lt;&gt;0),AND(C33=S16,D33&lt;130,D33&lt;&gt;0),AND(C34=S16,D34&lt;130,D34&lt;&gt;0),AND(C35=S16,D35&lt;130,D35&lt;&gt;0),AND(C36=S16,D36&lt;130,D36&lt;&gt;0)),S39,S40)</f>
        <v xml:space="preserve"> </v>
      </c>
      <c r="D40" s="196"/>
      <c r="G40" s="24" t="s">
        <v>129</v>
      </c>
      <c r="H40" s="25" t="s">
        <v>25</v>
      </c>
      <c r="I40" s="189">
        <f>IF(AND(L42&gt;=50,L42&lt;70),ROUNDUP(D12/2,0),0)</f>
        <v>0</v>
      </c>
      <c r="J40" s="190"/>
      <c r="L40" s="27">
        <f>IF(C35=$S$15,D35*E35/1000000*13,IF(C35=$S$16,D35*E35/1000000*11))</f>
        <v>0</v>
      </c>
      <c r="S40" s="27" t="s">
        <v>0</v>
      </c>
    </row>
    <row r="41" spans="2:19" ht="20.100000000000001" customHeight="1" thickBot="1" x14ac:dyDescent="0.35">
      <c r="B41" s="27"/>
      <c r="C41" s="27"/>
      <c r="D41" s="27"/>
      <c r="E41" s="27"/>
      <c r="F41" s="27"/>
      <c r="G41" s="24" t="s">
        <v>97</v>
      </c>
      <c r="H41" s="47" t="s">
        <v>11</v>
      </c>
      <c r="I41" s="172">
        <f>D16*D10</f>
        <v>0</v>
      </c>
      <c r="J41" s="173"/>
      <c r="K41" s="69"/>
      <c r="L41" s="27">
        <f>IF(C36=$S$15,D36*E36/1000000*13,IF(C36=$S$16,D36*E36/1000000*11))</f>
        <v>0</v>
      </c>
    </row>
    <row r="42" spans="2:19" ht="20.100000000000001" customHeight="1" thickBot="1" x14ac:dyDescent="0.35">
      <c r="B42" s="27"/>
      <c r="C42" s="196" t="str">
        <f>IF(AND(SUM(F31:F35)/C28=1,D36=0,C28&lt;&gt;1),S52,S53)</f>
        <v xml:space="preserve"> </v>
      </c>
      <c r="D42" s="196"/>
      <c r="E42" s="27"/>
      <c r="F42" s="27"/>
      <c r="G42" s="24" t="s">
        <v>98</v>
      </c>
      <c r="H42" s="47" t="s">
        <v>12</v>
      </c>
      <c r="I42" s="192">
        <f>D10*2-D12</f>
        <v>4</v>
      </c>
      <c r="J42" s="193"/>
      <c r="L42" s="59">
        <f>SUM(L37:L41)</f>
        <v>25.085060000000002</v>
      </c>
    </row>
    <row r="43" spans="2:19" ht="21" customHeight="1" x14ac:dyDescent="0.3">
      <c r="B43" s="27"/>
      <c r="C43" s="27"/>
      <c r="D43" s="27"/>
      <c r="E43" s="27"/>
      <c r="F43" s="27"/>
      <c r="G43" s="87" t="s">
        <v>99</v>
      </c>
      <c r="H43" s="22" t="s">
        <v>22</v>
      </c>
      <c r="I43" s="176">
        <f>CEILING(J17*J7/1000,1)</f>
        <v>11</v>
      </c>
      <c r="J43" s="177"/>
    </row>
    <row r="44" spans="2:19" ht="21" customHeight="1" thickBot="1" x14ac:dyDescent="0.35">
      <c r="B44" s="27"/>
      <c r="C44" s="27"/>
      <c r="D44" s="27"/>
      <c r="E44" s="27"/>
      <c r="F44" s="27"/>
      <c r="G44" s="122" t="s">
        <v>108</v>
      </c>
      <c r="H44" s="22" t="s">
        <v>22</v>
      </c>
      <c r="I44" s="176">
        <f>IF(D20=S57,CEILING(J17*J7/1000,1),0)</f>
        <v>11</v>
      </c>
      <c r="J44" s="177"/>
    </row>
    <row r="45" spans="2:19" ht="21" customHeight="1" thickBot="1" x14ac:dyDescent="0.35">
      <c r="F45" s="27"/>
      <c r="G45" s="122" t="s">
        <v>107</v>
      </c>
      <c r="H45" s="47" t="s">
        <v>26</v>
      </c>
      <c r="I45" s="176">
        <f>IF(D20=S58,CEILING(J17*J7/1000,1),0)</f>
        <v>0</v>
      </c>
      <c r="J45" s="186"/>
      <c r="L45" s="62">
        <f>(L35+L42)*1.05</f>
        <v>33.469974300000004</v>
      </c>
      <c r="S45" s="63" t="s">
        <v>16</v>
      </c>
    </row>
    <row r="46" spans="2:19" ht="21" customHeight="1" x14ac:dyDescent="0.3">
      <c r="F46" s="27"/>
      <c r="G46" s="24" t="s">
        <v>41</v>
      </c>
      <c r="H46" s="47" t="s">
        <v>123</v>
      </c>
      <c r="I46" s="176">
        <f>IF(D19=S20,CEILING((I16+40)*2/1000,1),0)</f>
        <v>0</v>
      </c>
      <c r="J46" s="177"/>
      <c r="S46" s="63" t="s">
        <v>17</v>
      </c>
    </row>
    <row r="47" spans="2:19" ht="20.100000000000001" customHeight="1" x14ac:dyDescent="0.3">
      <c r="F47" s="27"/>
      <c r="G47" s="67" t="s">
        <v>106</v>
      </c>
      <c r="H47" s="47" t="s">
        <v>9</v>
      </c>
      <c r="I47" s="181">
        <f>IF(B24=S11,ROUND((D16+E17)*D10*4+(J8/300+1)*((D15+D14+D13)*2),1),0)</f>
        <v>0</v>
      </c>
      <c r="J47" s="182"/>
      <c r="S47" s="63" t="s">
        <v>18</v>
      </c>
    </row>
    <row r="48" spans="2:19" ht="20.100000000000001" customHeight="1" x14ac:dyDescent="0.3">
      <c r="F48" s="27"/>
      <c r="G48" s="67" t="s">
        <v>105</v>
      </c>
      <c r="H48" s="47" t="s">
        <v>15</v>
      </c>
      <c r="I48" s="181">
        <f>J28*4+J29*2</f>
        <v>24</v>
      </c>
      <c r="J48" s="182"/>
      <c r="S48" s="63" t="s">
        <v>19</v>
      </c>
    </row>
    <row r="49" spans="2:19" ht="20.100000000000001" customHeight="1" x14ac:dyDescent="0.3">
      <c r="F49" s="27"/>
      <c r="G49" s="68" t="s">
        <v>104</v>
      </c>
      <c r="H49" s="47" t="s">
        <v>21</v>
      </c>
      <c r="I49" s="183">
        <f>CEILING(SUM(I30*J30,I31*J31,I32*J32,I33*J33,I34*J34)/1000,1)</f>
        <v>11</v>
      </c>
      <c r="J49" s="184"/>
      <c r="S49" s="63" t="s">
        <v>20</v>
      </c>
    </row>
    <row r="50" spans="2:19" ht="20.100000000000001" customHeight="1" x14ac:dyDescent="0.3">
      <c r="B50" s="27"/>
      <c r="D50" s="27"/>
      <c r="E50" s="27"/>
      <c r="F50" s="27"/>
      <c r="G50" s="24" t="s">
        <v>47</v>
      </c>
      <c r="H50" s="25" t="s">
        <v>29</v>
      </c>
      <c r="I50" s="172">
        <f>IF(D21=S20,D11,0)</f>
        <v>0</v>
      </c>
      <c r="J50" s="185"/>
    </row>
    <row r="51" spans="2:19" ht="20.100000000000001" customHeight="1" x14ac:dyDescent="0.3">
      <c r="B51" s="156" t="s">
        <v>58</v>
      </c>
      <c r="C51" s="27"/>
      <c r="D51" s="27"/>
      <c r="E51" s="27"/>
      <c r="F51" s="27"/>
      <c r="G51" s="24" t="s">
        <v>109</v>
      </c>
      <c r="H51" s="47"/>
      <c r="I51" s="172">
        <f>I18*J18/250*1.1</f>
        <v>15.681600000000001</v>
      </c>
      <c r="J51" s="178"/>
      <c r="S51" s="69"/>
    </row>
    <row r="52" spans="2:19" ht="20.100000000000001" customHeight="1" x14ac:dyDescent="0.3">
      <c r="B52" s="156"/>
      <c r="C52" s="27"/>
      <c r="D52" s="27"/>
      <c r="E52" s="27"/>
      <c r="F52" s="27"/>
      <c r="G52" s="49" t="s">
        <v>111</v>
      </c>
      <c r="H52" s="47"/>
      <c r="I52" s="179">
        <f>(IF(C32=S15,(D32/250)*2*D10+IF(D36&lt;&gt;0,(E32/250)*D10,0)+I37*4+(D32/300)*2*J21,0)+IF(AND(C33=S15,D33&lt;&gt;0),(D33/250)*2*D10+(E33/250)*D10*2+(D33/300)*2*J21,0)+IF(AND(C34=S15,D34&lt;&gt;0),(D34/250)*2*D10+(E34/250)*D10*2+(D34/300)*2*J21,0)+IF(AND(C35=S15,D35&lt;&gt;0),(D35/250)*2*D10+(E35/250)*D10*2+(D35/300)*2*J21,0)+IF(AND(C36=S15,D36&lt;&gt;0),(D36/250)*2*D10+(E36/250)*D10*2+(D36/300)*2*J21+I37*8,0)+I19*J19/250+I20*J20/250)*1.1</f>
        <v>0</v>
      </c>
      <c r="J52" s="180"/>
      <c r="S52" s="28" t="s">
        <v>118</v>
      </c>
    </row>
    <row r="53" spans="2:19" x14ac:dyDescent="0.3">
      <c r="B53" s="156"/>
      <c r="C53" s="27"/>
      <c r="D53" s="27"/>
      <c r="E53" s="27"/>
      <c r="F53" s="27"/>
      <c r="G53" s="24" t="s">
        <v>110</v>
      </c>
      <c r="H53" s="47"/>
      <c r="I53" s="172">
        <f>J24*2*1.1</f>
        <v>0</v>
      </c>
      <c r="J53" s="173"/>
      <c r="S53" s="28" t="s">
        <v>0</v>
      </c>
    </row>
    <row r="54" spans="2:19" ht="19.5" thickBot="1" x14ac:dyDescent="0.35">
      <c r="C54" s="27"/>
      <c r="D54" s="27"/>
      <c r="E54" s="27"/>
      <c r="G54" s="29" t="s">
        <v>112</v>
      </c>
      <c r="H54" s="84"/>
      <c r="I54" s="174">
        <f>((J23*2+I22*J22/250+D16*2*D10)+IF(C32=S16,(D32/250)*2*D10+IF(D36&lt;&gt;0,(E32/250)*D10*4,0)+I37*4+(D32/300)*2*J21,0)+IF(AND(C33=S16,D33&lt;&gt;0),(D33/250)*2*D10+(E33/250)*D10*4+(D33/300)*2*J21,0)+IF(AND(C34=S16,D34&lt;&gt;0),(D34/250)*2*D10+(E34/250)*D10*4+(D34/300)*2*J21,0)+IF(AND(C35=S16,D35&lt;&gt;0),(D35/250)*2*D10+(E35/250)*D10*4+(D35/300)*2*J21,0)+IF(AND(C36=S16,D36&lt;&gt;0),(D36/250)*2*D10+(E36/250)*D10*4+(D36/300)*2*J21+I37*8,0))*1.1</f>
        <v>128.38613333333336</v>
      </c>
      <c r="J54" s="175"/>
    </row>
    <row r="55" spans="2:19" ht="21.75" thickBot="1" x14ac:dyDescent="0.4">
      <c r="C55" s="83"/>
      <c r="D55" s="83"/>
      <c r="E55" s="28"/>
      <c r="G55" s="85"/>
      <c r="H55" s="85"/>
      <c r="I55" s="85"/>
    </row>
    <row r="56" spans="2:19" ht="19.5" thickBot="1" x14ac:dyDescent="0.35">
      <c r="D56" s="107" t="s">
        <v>64</v>
      </c>
      <c r="E56" s="108">
        <f>ROUNDUP(L45,0)</f>
        <v>34</v>
      </c>
      <c r="F56" s="37"/>
      <c r="G56" s="109" t="s">
        <v>65</v>
      </c>
      <c r="J56" s="86" t="s">
        <v>77</v>
      </c>
      <c r="S56" s="28" t="s">
        <v>115</v>
      </c>
    </row>
    <row r="57" spans="2:19" x14ac:dyDescent="0.3">
      <c r="S57" s="28" t="s">
        <v>116</v>
      </c>
    </row>
    <row r="58" spans="2:19" x14ac:dyDescent="0.3">
      <c r="S58" s="28" t="s">
        <v>117</v>
      </c>
    </row>
  </sheetData>
  <sheetProtection algorithmName="SHA-512" hashValue="pUdPz15PcW8FZMpC95/t2vQmUian3vrxOOOVJgK9QINC/td8gI5R2CAMXuTliNQPI3YPMEqljUZ4FqYWX0IbCA==" saltValue="Ev2+GjEEAyIkcT1Q/4qgjw==" spinCount="100000" sheet="1" selectLockedCells="1"/>
  <mergeCells count="60">
    <mergeCell ref="D14:E14"/>
    <mergeCell ref="B8:C8"/>
    <mergeCell ref="B9:C9"/>
    <mergeCell ref="B10:C10"/>
    <mergeCell ref="B11:C11"/>
    <mergeCell ref="D13:E13"/>
    <mergeCell ref="I41:J41"/>
    <mergeCell ref="I45:J45"/>
    <mergeCell ref="D15:E15"/>
    <mergeCell ref="I36:J36"/>
    <mergeCell ref="D16:E16"/>
    <mergeCell ref="I38:J38"/>
    <mergeCell ref="I37:J37"/>
    <mergeCell ref="I42:J42"/>
    <mergeCell ref="D20:E20"/>
    <mergeCell ref="C40:D40"/>
    <mergeCell ref="C42:D42"/>
    <mergeCell ref="D28:E28"/>
    <mergeCell ref="I39:J39"/>
    <mergeCell ref="I40:J40"/>
    <mergeCell ref="D18:E18"/>
    <mergeCell ref="I53:J53"/>
    <mergeCell ref="I54:J54"/>
    <mergeCell ref="I43:J43"/>
    <mergeCell ref="I46:J46"/>
    <mergeCell ref="I51:J51"/>
    <mergeCell ref="I52:J52"/>
    <mergeCell ref="I48:J48"/>
    <mergeCell ref="I47:J47"/>
    <mergeCell ref="I49:J49"/>
    <mergeCell ref="I44:J44"/>
    <mergeCell ref="I50:J50"/>
    <mergeCell ref="B51:B53"/>
    <mergeCell ref="B23:C23"/>
    <mergeCell ref="B24:C24"/>
    <mergeCell ref="B12:C12"/>
    <mergeCell ref="B13:C13"/>
    <mergeCell ref="B14:C14"/>
    <mergeCell ref="B15:C15"/>
    <mergeCell ref="B20:C20"/>
    <mergeCell ref="B16:C16"/>
    <mergeCell ref="B17:C17"/>
    <mergeCell ref="B19:C19"/>
    <mergeCell ref="B18:C18"/>
    <mergeCell ref="B2:K2"/>
    <mergeCell ref="B3:K3"/>
    <mergeCell ref="D19:E19"/>
    <mergeCell ref="B21:C21"/>
    <mergeCell ref="D21:E21"/>
    <mergeCell ref="B5:E5"/>
    <mergeCell ref="D12:E12"/>
    <mergeCell ref="G7:H8"/>
    <mergeCell ref="G11:H12"/>
    <mergeCell ref="G5:J5"/>
    <mergeCell ref="D7:E7"/>
    <mergeCell ref="D8:E8"/>
    <mergeCell ref="D10:E10"/>
    <mergeCell ref="D9:E9"/>
    <mergeCell ref="D11:E11"/>
    <mergeCell ref="B7:C7"/>
  </mergeCells>
  <phoneticPr fontId="16" type="noConversion"/>
  <conditionalFormatting sqref="C38">
    <cfRule type="expression" dxfId="19" priority="6">
      <formula>$C$38=$S$33</formula>
    </cfRule>
    <cfRule type="expression" dxfId="18" priority="7">
      <formula>$C$38=$S$34</formula>
    </cfRule>
  </conditionalFormatting>
  <conditionalFormatting sqref="D28">
    <cfRule type="expression" dxfId="17" priority="4">
      <formula>$D$28=$S$37</formula>
    </cfRule>
  </conditionalFormatting>
  <conditionalFormatting sqref="C40">
    <cfRule type="expression" dxfId="16" priority="3">
      <formula>$C$40=$S$39</formula>
    </cfRule>
  </conditionalFormatting>
  <conditionalFormatting sqref="C42">
    <cfRule type="expression" dxfId="15" priority="2">
      <formula>$C$42=$S$52</formula>
    </cfRule>
  </conditionalFormatting>
  <conditionalFormatting sqref="D12:E12">
    <cfRule type="expression" dxfId="14" priority="1">
      <formula>$D$12&gt;$D$10*2</formula>
    </cfRule>
  </conditionalFormatting>
  <dataValidations count="10">
    <dataValidation type="whole" allowBlank="1" showInputMessage="1" showErrorMessage="1" sqref="D11:E11">
      <formula1>1</formula1>
      <formula2>4</formula2>
    </dataValidation>
    <dataValidation type="whole" allowBlank="1" showInputMessage="1" showErrorMessage="1" sqref="E17">
      <formula1>0</formula1>
      <formula2>2</formula2>
    </dataValidation>
    <dataValidation type="whole" allowBlank="1" showInputMessage="1" showErrorMessage="1" sqref="D10:E10">
      <formula1>1</formula1>
      <formula2>5</formula2>
    </dataValidation>
    <dataValidation type="whole" operator="greaterThan" allowBlank="1" showInputMessage="1" showErrorMessage="1" sqref="D13:D16 E13:E14">
      <formula1>-1</formula1>
    </dataValidation>
    <dataValidation type="whole" allowBlank="1" showInputMessage="1" showErrorMessage="1" errorTitle="Неверное количество" error="Не более двух доводчиков на одну дверь." sqref="D12:E12">
      <formula1>0</formula1>
      <formula2>D10*2</formula2>
    </dataValidation>
    <dataValidation type="list" allowBlank="1" showInputMessage="1" showErrorMessage="1" sqref="B24">
      <formula1>$S$10:$S$11</formula1>
    </dataValidation>
    <dataValidation type="list" allowBlank="1" showInputMessage="1" showErrorMessage="1" sqref="C32:C36">
      <formula1>$S$15:$S$16</formula1>
    </dataValidation>
    <dataValidation type="list" allowBlank="1" showInputMessage="1" showErrorMessage="1" sqref="D9:E9">
      <formula1>$S$45:$S$49</formula1>
    </dataValidation>
    <dataValidation type="list" allowBlank="1" showInputMessage="1" showErrorMessage="1" sqref="D20:E20">
      <formula1>$S$56:$S$58</formula1>
    </dataValidation>
    <dataValidation type="list" allowBlank="1" showInputMessage="1" showErrorMessage="1" sqref="D21:E21 D18:E19">
      <formula1>$S$20:$S$21</formula1>
    </dataValidation>
  </dataValidations>
  <hyperlinks>
    <hyperlink ref="J56" location="Contents!A1" display="Contents"/>
  </hyperlink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CDD4A46-F2CB-4356-B607-A4ABC54B7586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8"/>
  <sheetViews>
    <sheetView zoomScale="70" zoomScaleNormal="70" workbookViewId="0">
      <selection activeCell="D7" sqref="D7:E7"/>
    </sheetView>
  </sheetViews>
  <sheetFormatPr defaultColWidth="9.140625" defaultRowHeight="18.75" x14ac:dyDescent="0.3"/>
  <cols>
    <col min="1" max="1" width="4.7109375" style="28" customWidth="1"/>
    <col min="2" max="3" width="43.7109375" style="28" customWidth="1"/>
    <col min="4" max="5" width="14.7109375" style="34" customWidth="1"/>
    <col min="6" max="6" width="3.7109375" style="28" customWidth="1"/>
    <col min="7" max="7" width="79.7109375" style="28" customWidth="1"/>
    <col min="8" max="8" width="22.42578125" style="28" customWidth="1"/>
    <col min="9" max="10" width="17.7109375" style="28" customWidth="1"/>
    <col min="11" max="12" width="9.140625" style="28" hidden="1" customWidth="1"/>
    <col min="13" max="22" width="9.140625" style="28"/>
    <col min="23" max="23" width="8.5703125" style="28" customWidth="1"/>
    <col min="24" max="24" width="34.140625" style="28" hidden="1" customWidth="1"/>
    <col min="25" max="25" width="9.140625" style="28" hidden="1" customWidth="1"/>
    <col min="26" max="26" width="0" style="28" hidden="1" customWidth="1"/>
    <col min="27" max="16384" width="9.140625" style="28"/>
  </cols>
  <sheetData>
    <row r="1" spans="2:25" x14ac:dyDescent="0.3">
      <c r="C1" s="33"/>
    </row>
    <row r="2" spans="2:25" s="27" customFormat="1" ht="27.6" customHeight="1" x14ac:dyDescent="0.25">
      <c r="B2" s="126" t="s">
        <v>32</v>
      </c>
      <c r="C2" s="126"/>
      <c r="D2" s="126"/>
      <c r="E2" s="126"/>
      <c r="F2" s="126"/>
      <c r="G2" s="126"/>
      <c r="H2" s="126"/>
      <c r="I2" s="126"/>
      <c r="J2" s="126"/>
      <c r="K2" s="126"/>
      <c r="X2" s="125" t="s">
        <v>80</v>
      </c>
      <c r="Y2" s="27" t="s">
        <v>78</v>
      </c>
    </row>
    <row r="3" spans="2:25" s="35" customFormat="1" ht="26.1" customHeight="1" x14ac:dyDescent="0.25">
      <c r="B3" s="126" t="s">
        <v>33</v>
      </c>
      <c r="C3" s="126"/>
      <c r="D3" s="126"/>
      <c r="E3" s="126"/>
      <c r="F3" s="126"/>
      <c r="G3" s="127"/>
      <c r="H3" s="127"/>
      <c r="I3" s="127"/>
      <c r="J3" s="127"/>
      <c r="K3" s="127"/>
      <c r="X3" s="35" t="s">
        <v>131</v>
      </c>
      <c r="Y3" s="27" t="s">
        <v>124</v>
      </c>
    </row>
    <row r="4" spans="2:25" s="35" customFormat="1" ht="20.100000000000001" customHeight="1" x14ac:dyDescent="0.3">
      <c r="C4" s="36"/>
      <c r="D4" s="36"/>
      <c r="E4" s="36"/>
      <c r="G4" s="37"/>
      <c r="H4" s="37"/>
      <c r="I4" s="37"/>
      <c r="J4" s="37"/>
    </row>
    <row r="5" spans="2:25" s="35" customFormat="1" ht="20.100000000000001" customHeight="1" x14ac:dyDescent="0.25">
      <c r="B5" s="134" t="s">
        <v>30</v>
      </c>
      <c r="C5" s="134"/>
      <c r="D5" s="134"/>
      <c r="E5" s="134"/>
      <c r="G5" s="145" t="s">
        <v>42</v>
      </c>
      <c r="H5" s="145"/>
      <c r="I5" s="145"/>
      <c r="J5" s="145"/>
    </row>
    <row r="6" spans="2:25" s="35" customFormat="1" ht="20.100000000000001" customHeight="1" thickBot="1" x14ac:dyDescent="0.3">
      <c r="B6" s="113"/>
      <c r="C6" s="38"/>
      <c r="D6" s="38"/>
      <c r="E6" s="38"/>
      <c r="G6" s="38"/>
      <c r="H6" s="38"/>
      <c r="I6" s="38"/>
      <c r="J6" s="38"/>
      <c r="X6" s="27"/>
    </row>
    <row r="7" spans="2:25" s="27" customFormat="1" ht="20.100000000000001" customHeight="1" x14ac:dyDescent="0.25">
      <c r="B7" s="213" t="s">
        <v>35</v>
      </c>
      <c r="C7" s="214"/>
      <c r="D7" s="146">
        <v>2600</v>
      </c>
      <c r="E7" s="147"/>
      <c r="G7" s="137" t="s">
        <v>43</v>
      </c>
      <c r="H7" s="138"/>
      <c r="I7" s="88" t="s">
        <v>44</v>
      </c>
      <c r="J7" s="101">
        <f>IF(D19=X21,D7+6,D7+12)</f>
        <v>2606</v>
      </c>
    </row>
    <row r="8" spans="2:25" s="27" customFormat="1" ht="20.100000000000001" customHeight="1" thickBot="1" x14ac:dyDescent="0.3">
      <c r="B8" s="215" t="s">
        <v>36</v>
      </c>
      <c r="C8" s="216"/>
      <c r="D8" s="148">
        <v>1800</v>
      </c>
      <c r="E8" s="149"/>
      <c r="G8" s="139"/>
      <c r="H8" s="140"/>
      <c r="I8" s="89" t="s">
        <v>45</v>
      </c>
      <c r="J8" s="102">
        <f>ROUNDUP(IF(D9=X48,(D8+D11*12)/D10,(D8+D11*12)/D10),0)</f>
        <v>906</v>
      </c>
    </row>
    <row r="9" spans="2:25" s="27" customFormat="1" ht="20.100000000000001" customHeight="1" x14ac:dyDescent="0.25">
      <c r="B9" s="211" t="s">
        <v>37</v>
      </c>
      <c r="C9" s="212"/>
      <c r="D9" s="152" t="s">
        <v>16</v>
      </c>
      <c r="E9" s="153"/>
      <c r="G9" s="39"/>
      <c r="H9" s="39"/>
      <c r="I9" s="40"/>
      <c r="J9" s="21"/>
    </row>
    <row r="10" spans="2:25" s="27" customFormat="1" ht="20.100000000000001" customHeight="1" thickBot="1" x14ac:dyDescent="0.3">
      <c r="B10" s="211" t="s">
        <v>38</v>
      </c>
      <c r="C10" s="212"/>
      <c r="D10" s="150">
        <f>IF(D9=X45,2,IF(D9=X46,3,IF(D9=X47,4,IF(D9=X48,4,IF(D9=X49,5)))))</f>
        <v>2</v>
      </c>
      <c r="E10" s="151"/>
      <c r="G10" s="39"/>
      <c r="H10" s="39"/>
      <c r="I10" s="40"/>
      <c r="J10" s="1"/>
      <c r="X10" s="27" t="s">
        <v>88</v>
      </c>
    </row>
    <row r="11" spans="2:25" s="27" customFormat="1" ht="20.100000000000001" customHeight="1" x14ac:dyDescent="0.25">
      <c r="B11" s="211" t="s">
        <v>39</v>
      </c>
      <c r="C11" s="212"/>
      <c r="D11" s="150">
        <f>IF(D9='Visible Top Track'!S45,1,IF(D9='Visible Top Track'!S46,2,IF(D9='Visible Top Track'!S47,3,IF(D9='Visible Top Track'!S48,2,IF(D9='Visible Top Track'!S49,4)))))</f>
        <v>1</v>
      </c>
      <c r="E11" s="151"/>
      <c r="G11" s="141" t="s">
        <v>46</v>
      </c>
      <c r="H11" s="142"/>
      <c r="I11" s="88" t="s">
        <v>63</v>
      </c>
      <c r="J11" s="101">
        <f>ROUNDDOWN(J7-1.6*D14-26*D15-3.5*2-D16*26,0)</f>
        <v>2599</v>
      </c>
      <c r="X11" s="27" t="s">
        <v>106</v>
      </c>
    </row>
    <row r="12" spans="2:25" s="27" customFormat="1" ht="20.100000000000001" customHeight="1" thickBot="1" x14ac:dyDescent="0.3">
      <c r="B12" s="220" t="s">
        <v>72</v>
      </c>
      <c r="C12" s="221"/>
      <c r="D12" s="135">
        <v>0</v>
      </c>
      <c r="E12" s="136"/>
      <c r="G12" s="143"/>
      <c r="H12" s="144"/>
      <c r="I12" s="89" t="s">
        <v>45</v>
      </c>
      <c r="J12" s="102">
        <f>J8-4</f>
        <v>902</v>
      </c>
    </row>
    <row r="13" spans="2:25" s="27" customFormat="1" ht="20.100000000000001" customHeight="1" thickBot="1" x14ac:dyDescent="0.3">
      <c r="B13" s="220" t="s">
        <v>73</v>
      </c>
      <c r="C13" s="221"/>
      <c r="D13" s="135">
        <v>0</v>
      </c>
      <c r="E13" s="136"/>
      <c r="G13" s="39"/>
      <c r="H13" s="39"/>
      <c r="I13" s="41"/>
      <c r="J13" s="42"/>
    </row>
    <row r="14" spans="2:25" s="27" customFormat="1" ht="20.100000000000001" customHeight="1" x14ac:dyDescent="0.25">
      <c r="B14" s="163" t="s">
        <v>68</v>
      </c>
      <c r="C14" s="164"/>
      <c r="D14" s="135">
        <v>0</v>
      </c>
      <c r="E14" s="136"/>
      <c r="G14" s="103" t="s">
        <v>59</v>
      </c>
      <c r="H14" s="104" t="s">
        <v>60</v>
      </c>
      <c r="I14" s="88" t="s">
        <v>61</v>
      </c>
      <c r="J14" s="105" t="s">
        <v>57</v>
      </c>
    </row>
    <row r="15" spans="2:25" s="27" customFormat="1" ht="20.100000000000001" customHeight="1" x14ac:dyDescent="0.3">
      <c r="B15" s="163" t="s">
        <v>66</v>
      </c>
      <c r="C15" s="164"/>
      <c r="D15" s="135">
        <v>0</v>
      </c>
      <c r="E15" s="136"/>
      <c r="G15" s="121" t="s">
        <v>79</v>
      </c>
      <c r="H15" s="43" t="s">
        <v>1</v>
      </c>
      <c r="I15" s="120">
        <f>D8-2-32</f>
        <v>1766</v>
      </c>
      <c r="J15" s="2">
        <v>1</v>
      </c>
      <c r="L15" s="44"/>
      <c r="X15" s="27" t="s">
        <v>125</v>
      </c>
    </row>
    <row r="16" spans="2:25" s="27" customFormat="1" ht="20.100000000000001" customHeight="1" x14ac:dyDescent="0.3">
      <c r="B16" s="163" t="s">
        <v>67</v>
      </c>
      <c r="C16" s="164"/>
      <c r="D16" s="135">
        <v>0</v>
      </c>
      <c r="E16" s="136"/>
      <c r="G16" s="121" t="str">
        <f>IF(D19=X21,X2,X3)</f>
        <v>Double Bottom Track</v>
      </c>
      <c r="H16" s="43" t="str">
        <f>IF(D19=X21,Y2,Y3)</f>
        <v>CKRU0504/0009</v>
      </c>
      <c r="I16" s="120">
        <f>D8-2</f>
        <v>1798</v>
      </c>
      <c r="J16" s="2">
        <f>IF(D19=X21,1,2)</f>
        <v>1</v>
      </c>
      <c r="L16" s="44"/>
      <c r="X16" s="27" t="s">
        <v>113</v>
      </c>
    </row>
    <row r="17" spans="2:24" s="27" customFormat="1" ht="20.100000000000001" customHeight="1" x14ac:dyDescent="0.3">
      <c r="B17" s="163" t="s">
        <v>70</v>
      </c>
      <c r="C17" s="164"/>
      <c r="D17" s="135">
        <v>0</v>
      </c>
      <c r="E17" s="136"/>
      <c r="G17" s="24" t="s">
        <v>81</v>
      </c>
      <c r="H17" s="43" t="s">
        <v>2</v>
      </c>
      <c r="I17" s="117">
        <f>J7</f>
        <v>2606</v>
      </c>
      <c r="J17" s="3">
        <f>D10*2</f>
        <v>4</v>
      </c>
      <c r="K17" s="27">
        <v>0.29799999999999999</v>
      </c>
      <c r="L17" s="44">
        <f t="shared" ref="L17:L34" si="0">I17*K17*J17/1000</f>
        <v>3.1063519999999998</v>
      </c>
    </row>
    <row r="18" spans="2:24" s="27" customFormat="1" ht="20.100000000000001" customHeight="1" x14ac:dyDescent="0.3">
      <c r="B18" s="161" t="s">
        <v>71</v>
      </c>
      <c r="C18" s="162"/>
      <c r="D18" s="124">
        <v>140</v>
      </c>
      <c r="E18" s="123">
        <v>0</v>
      </c>
      <c r="G18" s="24" t="s">
        <v>82</v>
      </c>
      <c r="H18" s="43" t="s">
        <v>3</v>
      </c>
      <c r="I18" s="117">
        <f>J8-2*5</f>
        <v>896</v>
      </c>
      <c r="J18" s="3">
        <f>(D14+2)*D10</f>
        <v>4</v>
      </c>
      <c r="K18" s="27">
        <v>6.8000000000000005E-2</v>
      </c>
      <c r="L18" s="44">
        <f t="shared" si="0"/>
        <v>0.24371200000000001</v>
      </c>
    </row>
    <row r="19" spans="2:24" s="27" customFormat="1" ht="20.100000000000001" customHeight="1" x14ac:dyDescent="0.3">
      <c r="B19" s="166" t="s">
        <v>131</v>
      </c>
      <c r="C19" s="167"/>
      <c r="D19" s="199" t="s">
        <v>115</v>
      </c>
      <c r="E19" s="200"/>
      <c r="G19" s="24" t="s">
        <v>83</v>
      </c>
      <c r="H19" s="45" t="s">
        <v>4</v>
      </c>
      <c r="I19" s="117">
        <f>IF(J19&lt;&gt;0,I18,0)</f>
        <v>0</v>
      </c>
      <c r="J19" s="3">
        <f>D15*D10-IF(D15&gt;0,IF(E18&gt;0,D10,IF(D17&gt;0,D10,0)),0)</f>
        <v>0</v>
      </c>
      <c r="K19" s="27">
        <v>0.30499999999999999</v>
      </c>
      <c r="L19" s="44">
        <f t="shared" si="0"/>
        <v>0</v>
      </c>
    </row>
    <row r="20" spans="2:24" s="27" customFormat="1" ht="20.100000000000001" customHeight="1" x14ac:dyDescent="0.3">
      <c r="B20" s="215" t="s">
        <v>41</v>
      </c>
      <c r="C20" s="216"/>
      <c r="D20" s="199" t="s">
        <v>115</v>
      </c>
      <c r="E20" s="200"/>
      <c r="G20" s="24" t="s">
        <v>84</v>
      </c>
      <c r="H20" s="45" t="s">
        <v>4</v>
      </c>
      <c r="I20" s="117">
        <f>IF(J20&lt;&gt;0,I18-D18*E18-200*D17,0)</f>
        <v>0</v>
      </c>
      <c r="J20" s="3">
        <f>IF(D15&gt;0,IF(E18&gt;0,D10,IF(D17&gt;0,D10,0)),0)</f>
        <v>0</v>
      </c>
      <c r="K20" s="27">
        <v>0.30499999999999999</v>
      </c>
      <c r="L20" s="44">
        <f t="shared" si="0"/>
        <v>0</v>
      </c>
      <c r="X20" s="27" t="s">
        <v>114</v>
      </c>
    </row>
    <row r="21" spans="2:24" s="27" customFormat="1" ht="20.100000000000001" customHeight="1" thickBot="1" x14ac:dyDescent="0.35">
      <c r="B21" s="130" t="s">
        <v>47</v>
      </c>
      <c r="C21" s="131"/>
      <c r="D21" s="132" t="s">
        <v>115</v>
      </c>
      <c r="E21" s="133"/>
      <c r="G21" s="24" t="s">
        <v>85</v>
      </c>
      <c r="H21" s="45" t="s">
        <v>5</v>
      </c>
      <c r="I21" s="118">
        <f>J7-20</f>
        <v>2586</v>
      </c>
      <c r="J21" s="4">
        <f>IF(J8&lt;1000,D10*2,D10*3)</f>
        <v>4</v>
      </c>
      <c r="K21" s="27">
        <v>0.41299999999999998</v>
      </c>
      <c r="L21" s="44">
        <f t="shared" si="0"/>
        <v>4.2720720000000005</v>
      </c>
      <c r="X21" s="27" t="s">
        <v>115</v>
      </c>
    </row>
    <row r="22" spans="2:24" s="27" customFormat="1" ht="20.100000000000001" customHeight="1" thickBot="1" x14ac:dyDescent="0.35">
      <c r="G22" s="24" t="s">
        <v>86</v>
      </c>
      <c r="H22" s="47" t="s">
        <v>6</v>
      </c>
      <c r="I22" s="118">
        <f>IF(D16&lt;&gt;0,I18,0)</f>
        <v>0</v>
      </c>
      <c r="J22" s="4">
        <f>D16*D10</f>
        <v>0</v>
      </c>
      <c r="K22" s="27">
        <v>0.29499999999999998</v>
      </c>
      <c r="L22" s="44">
        <f t="shared" si="0"/>
        <v>0</v>
      </c>
    </row>
    <row r="23" spans="2:24" s="27" customFormat="1" ht="20.100000000000001" customHeight="1" x14ac:dyDescent="0.3">
      <c r="B23" s="207" t="s">
        <v>74</v>
      </c>
      <c r="C23" s="208"/>
      <c r="G23" s="46" t="s">
        <v>87</v>
      </c>
      <c r="H23" s="47" t="s">
        <v>6</v>
      </c>
      <c r="I23" s="117">
        <f>IF(E18&lt;&gt;0,D18,0)</f>
        <v>0</v>
      </c>
      <c r="J23" s="3">
        <f>E18*D10</f>
        <v>0</v>
      </c>
      <c r="K23" s="27">
        <v>0.29499999999999998</v>
      </c>
      <c r="L23" s="44">
        <f t="shared" si="0"/>
        <v>0</v>
      </c>
    </row>
    <row r="24" spans="2:24" s="27" customFormat="1" ht="20.100000000000001" customHeight="1" thickBot="1" x14ac:dyDescent="0.35">
      <c r="B24" s="209" t="s">
        <v>88</v>
      </c>
      <c r="C24" s="210"/>
      <c r="G24" s="46" t="s">
        <v>89</v>
      </c>
      <c r="H24" s="47" t="s">
        <v>7</v>
      </c>
      <c r="I24" s="117">
        <f>IF(OR(E18&lt;&gt;0,D16&lt;&gt;0),23,0)</f>
        <v>0</v>
      </c>
      <c r="J24" s="3">
        <f>(E18+D16)*2*D10</f>
        <v>0</v>
      </c>
      <c r="K24" s="27">
        <v>9.799999999999999E-2</v>
      </c>
      <c r="L24" s="44">
        <f t="shared" si="0"/>
        <v>0</v>
      </c>
    </row>
    <row r="25" spans="2:24" s="27" customFormat="1" ht="20.100000000000001" customHeight="1" x14ac:dyDescent="0.3">
      <c r="G25" s="71" t="s">
        <v>88</v>
      </c>
      <c r="H25" s="47" t="s">
        <v>8</v>
      </c>
      <c r="I25" s="119">
        <f>IF(AND(B24='Visible Top Track'!S10,OR(D14&lt;&gt;0,D15&lt;&gt;0,D16&lt;&gt;0)),150,0)</f>
        <v>0</v>
      </c>
      <c r="J25" s="3">
        <f>IF(B24='Visible Top Track'!S10,(D14*2+J19+J20+J22)*2,0)</f>
        <v>0</v>
      </c>
      <c r="K25" s="27">
        <v>0.23499999999999996</v>
      </c>
      <c r="L25" s="44">
        <f t="shared" si="0"/>
        <v>0</v>
      </c>
    </row>
    <row r="26" spans="2:24" s="27" customFormat="1" ht="20.100000000000001" customHeight="1" x14ac:dyDescent="0.3">
      <c r="B26" s="219" t="s">
        <v>48</v>
      </c>
      <c r="C26" s="219"/>
      <c r="D26" s="219"/>
      <c r="G26" s="71" t="s">
        <v>88</v>
      </c>
      <c r="H26" s="47" t="s">
        <v>8</v>
      </c>
      <c r="I26" s="117">
        <f>IF(AND(B24='Visible Top Track'!S10,OR(D14&lt;&gt;0,D15&lt;&gt;0,D16&lt;&gt;0),J8&lt;1000),J8-45-300-80,0)</f>
        <v>0</v>
      </c>
      <c r="J26" s="3">
        <f>IF(AND(J8&lt;1000,B24='Visible Top Track'!S10),(D15+D14+D16)*D10,0)</f>
        <v>0</v>
      </c>
      <c r="K26" s="27">
        <v>0.23499999999999996</v>
      </c>
      <c r="L26" s="44">
        <f t="shared" si="0"/>
        <v>0</v>
      </c>
    </row>
    <row r="27" spans="2:24" s="27" customFormat="1" ht="20.100000000000001" customHeight="1" x14ac:dyDescent="0.3">
      <c r="B27" s="219" t="s">
        <v>75</v>
      </c>
      <c r="C27" s="219"/>
      <c r="D27" s="219"/>
      <c r="G27" s="71" t="s">
        <v>88</v>
      </c>
      <c r="H27" s="47" t="s">
        <v>8</v>
      </c>
      <c r="I27" s="117">
        <f>IF(AND(B24='Visible Top Track'!S10,OR(D14&lt;&gt;0,D15&lt;&gt;0,D16&lt;&gt;0),J8&gt;=1000),(J8-45-300-120)/2,0)</f>
        <v>0</v>
      </c>
      <c r="J27" s="3">
        <f>IF(AND(J8&gt;=1000,B25=S10),(D15+D14+D16)*D10*2,0)</f>
        <v>0</v>
      </c>
      <c r="K27" s="27">
        <v>0.23499999999999996</v>
      </c>
      <c r="L27" s="44">
        <f t="shared" si="0"/>
        <v>0</v>
      </c>
    </row>
    <row r="28" spans="2:24" s="27" customFormat="1" ht="20.100000000000001" customHeight="1" thickBot="1" x14ac:dyDescent="0.35">
      <c r="G28" s="49" t="s">
        <v>100</v>
      </c>
      <c r="H28" s="47" t="s">
        <v>14</v>
      </c>
      <c r="I28" s="119">
        <f>IF(OR(AND(C37='Visible Top Track'!S16,D37&lt;&gt;0),C33='Visible Top Track'!S16),J12-2-75,0)</f>
        <v>825</v>
      </c>
      <c r="J28" s="17">
        <f>IF(OR(AND(C33='Visible Top Track'!S16,D37=0),AND(C37='Visible Top Track'!S16,D37&lt;&gt;0,C33='Visible Top Track'!S16,D33&lt;&gt;0)),2,IF(OR(C33='Visible Top Track'!S16,AND(C37='Visible Top Track'!S16,D37&lt;&gt;0)),1,0))*D10</f>
        <v>4</v>
      </c>
      <c r="K28" s="27">
        <v>0.60799999999999998</v>
      </c>
      <c r="L28" s="44">
        <f t="shared" si="0"/>
        <v>2.0063999999999997</v>
      </c>
    </row>
    <row r="29" spans="2:24" s="27" customFormat="1" ht="20.100000000000001" customHeight="1" thickBot="1" x14ac:dyDescent="0.35">
      <c r="B29" s="91" t="s">
        <v>49</v>
      </c>
      <c r="C29" s="51">
        <f>SUM(D14:D16)+1</f>
        <v>1</v>
      </c>
      <c r="D29" s="197" t="str">
        <f>IF(C29&gt;5,'Visible Top Track'!S37,'Visible Top Track'!S38)</f>
        <v xml:space="preserve"> </v>
      </c>
      <c r="E29" s="219"/>
      <c r="G29" s="49" t="s">
        <v>90</v>
      </c>
      <c r="H29" s="47" t="s">
        <v>13</v>
      </c>
      <c r="I29" s="119">
        <f>IF(OR(AND(C33='Visible Top Track'!S16,D33&lt;&gt;0),AND(C34='Visible Top Track'!S16,D34&lt;&gt;0),AND(C35='Visible Top Track'!S16,D35&lt;&gt;0),AND(C36='Visible Top Track'!S16,D36&lt;&gt;0),AND(C37='Visible Top Track'!S16,D37&lt;&gt;0)),J12-2-75,0)</f>
        <v>825</v>
      </c>
      <c r="J29" s="17">
        <f>IF(I29&lt;&gt;0,(IF(AND(D37&lt;&gt;0,C33='Visible Top Track'!S16),1,0)+IF(AND(C33='Visible Top Track'!S16,D33&gt;=1000,D33&lt;1500),1,0)+IF(AND(C33='Visible Top Track'!S16,D33&gt;=1500,D33&lt;2000),2,0)+IF(AND(C33='Visible Top Track'!S16,D33&gt;=2000),3,0)+IF(AND(D34&lt;&gt;0,C34='Visible Top Track'!S16),2,0)+IF(AND(C34='Visible Top Track'!S16,D34&gt;=1000,D34&lt;1500),1,0)+IF(AND(C34='Visible Top Track'!S16,D34&gt;=1500,D34&lt;2000),2,0)+IF(AND(C34='Visible Top Track'!S16,D34&gt;=2000),3,0)+IF(AND(D35&lt;&gt;0,C35='Visible Top Track'!S16),2,0)+IF(AND(C35='Visible Top Track'!S16,D35&gt;=1000,D35&lt;1500),1,0)+IF(AND(C35='Visible Top Track'!S16,D35&gt;=1500,D35&lt;2000),2,0)+IF(AND(C35='Visible Top Track'!S16,D35&gt;=2000),3,0)+IF(AND(D36&lt;&gt;0,C36='Visible Top Track'!S16),2,0)+IF(AND(C36='Visible Top Track'!S16,D36&gt;=1000,D36&lt;1500),1,0)+IF(AND(C36='Visible Top Track'!S16,D36&gt;=1500,D36&lt;2000),2,0)+IF(AND(C36='Visible Top Track'!S16,D36&gt;=2000),3,0)+IF(AND(D37&lt;&gt;0,C37='Visible Top Track'!S16),1,0)+IF(AND(C37='Visible Top Track'!S16,D37&gt;=1000,D37&lt;1500),1,0)+IF(AND(C37='Visible Top Track'!S16,D37&gt;=1500,D37&lt;2000),2,0)+IF(AND(C37='Visible Top Track'!S16,D37&gt;=2000),3,0))*D10,0)</f>
        <v>6</v>
      </c>
      <c r="K29" s="27">
        <v>0.30499999999999999</v>
      </c>
      <c r="L29" s="44">
        <f t="shared" si="0"/>
        <v>1.5097499999999999</v>
      </c>
    </row>
    <row r="30" spans="2:24" s="27" customFormat="1" ht="20.100000000000001" customHeight="1" x14ac:dyDescent="0.3">
      <c r="G30" s="49" t="s">
        <v>91</v>
      </c>
      <c r="H30" s="47" t="s">
        <v>13</v>
      </c>
      <c r="I30" s="119">
        <f>IF(C33='Visible Top Track'!S16,D33,0)</f>
        <v>2599</v>
      </c>
      <c r="J30" s="17">
        <f>IF(I30&lt;&gt;0,IF(C33='Visible Top Track'!S16,2,0)*D10,0)</f>
        <v>4</v>
      </c>
      <c r="K30" s="27">
        <v>0.30499999999999999</v>
      </c>
      <c r="L30" s="44">
        <f t="shared" si="0"/>
        <v>3.1707799999999997</v>
      </c>
    </row>
    <row r="31" spans="2:24" s="27" customFormat="1" ht="20.100000000000001" customHeight="1" thickBot="1" x14ac:dyDescent="0.35">
      <c r="G31" s="49" t="s">
        <v>92</v>
      </c>
      <c r="H31" s="47" t="s">
        <v>13</v>
      </c>
      <c r="I31" s="119">
        <f>IF(C34='Visible Top Track'!S16,D34,0)</f>
        <v>0</v>
      </c>
      <c r="J31" s="17">
        <f>IF(I31&lt;&gt;0,IF(C34='Visible Top Track'!S16,2,0)*D10,0)</f>
        <v>0</v>
      </c>
      <c r="K31" s="27">
        <v>0.30499999999999999</v>
      </c>
      <c r="L31" s="44">
        <f t="shared" si="0"/>
        <v>0</v>
      </c>
    </row>
    <row r="32" spans="2:24" s="27" customFormat="1" ht="20.100000000000001" customHeight="1" x14ac:dyDescent="0.3">
      <c r="B32" s="93" t="s">
        <v>55</v>
      </c>
      <c r="C32" s="94" t="s">
        <v>56</v>
      </c>
      <c r="D32" s="94" t="s">
        <v>44</v>
      </c>
      <c r="E32" s="95" t="s">
        <v>45</v>
      </c>
      <c r="F32" s="53">
        <f>IF(D33&lt;&gt;0,1,0)</f>
        <v>1</v>
      </c>
      <c r="G32" s="49" t="s">
        <v>93</v>
      </c>
      <c r="H32" s="47" t="s">
        <v>13</v>
      </c>
      <c r="I32" s="119">
        <f>IF(C35='Visible Top Track'!S16,D35,0)</f>
        <v>0</v>
      </c>
      <c r="J32" s="17">
        <f>IF(I32&lt;&gt;0,IF(C35='Visible Top Track'!S16,2,0)*D10,0)</f>
        <v>0</v>
      </c>
      <c r="K32" s="27">
        <v>0.30499999999999999</v>
      </c>
      <c r="L32" s="44">
        <f t="shared" si="0"/>
        <v>0</v>
      </c>
    </row>
    <row r="33" spans="2:24" s="27" customFormat="1" ht="20.100000000000001" customHeight="1" x14ac:dyDescent="0.3">
      <c r="B33" s="87" t="s">
        <v>50</v>
      </c>
      <c r="C33" s="16" t="s">
        <v>113</v>
      </c>
      <c r="D33" s="97">
        <f>J11-SUM(D34:D37)</f>
        <v>2599</v>
      </c>
      <c r="E33" s="98">
        <f>IF(C33='Visible Top Track'!S16,$J$12-2,$J$12)</f>
        <v>900</v>
      </c>
      <c r="F33" s="53">
        <f>IF(D34&lt;&gt;0,1,0)</f>
        <v>0</v>
      </c>
      <c r="G33" s="49" t="s">
        <v>94</v>
      </c>
      <c r="H33" s="47" t="s">
        <v>13</v>
      </c>
      <c r="I33" s="119">
        <f>IF(C36='Visible Top Track'!S16,D36,0)</f>
        <v>0</v>
      </c>
      <c r="J33" s="17">
        <f>IF(I33&lt;&gt;0,IF(C36='Visible Top Track'!S16,2,0)*D10,0)</f>
        <v>0</v>
      </c>
      <c r="K33" s="27">
        <v>0.30499999999999999</v>
      </c>
      <c r="L33" s="44">
        <f t="shared" si="0"/>
        <v>0</v>
      </c>
      <c r="X33" s="90" t="s">
        <v>119</v>
      </c>
    </row>
    <row r="34" spans="2:24" s="27" customFormat="1" ht="20.100000000000001" customHeight="1" thickBot="1" x14ac:dyDescent="0.35">
      <c r="B34" s="87" t="s">
        <v>51</v>
      </c>
      <c r="C34" s="16" t="s">
        <v>125</v>
      </c>
      <c r="D34" s="110">
        <v>0</v>
      </c>
      <c r="E34" s="98">
        <f>IF(C34='Visible Top Track'!S16,$J$12-2,$J$12)</f>
        <v>902</v>
      </c>
      <c r="F34" s="53">
        <f>IF(D35&lt;&gt;0,1,0)</f>
        <v>0</v>
      </c>
      <c r="G34" s="49" t="s">
        <v>95</v>
      </c>
      <c r="H34" s="47" t="s">
        <v>13</v>
      </c>
      <c r="I34" s="119">
        <f>IF(C37='Visible Top Track'!S16,D37,0)</f>
        <v>0</v>
      </c>
      <c r="J34" s="17">
        <f>IF(I34&lt;&gt;0,IF(C37='Visible Top Track'!S16,2,0)*D10,0)</f>
        <v>0</v>
      </c>
      <c r="K34" s="27">
        <v>0.30499999999999999</v>
      </c>
      <c r="L34" s="44">
        <f t="shared" si="0"/>
        <v>0</v>
      </c>
      <c r="X34" s="90" t="s">
        <v>120</v>
      </c>
    </row>
    <row r="35" spans="2:24" s="27" customFormat="1" ht="20.100000000000001" customHeight="1" thickBot="1" x14ac:dyDescent="0.3">
      <c r="B35" s="87" t="s">
        <v>52</v>
      </c>
      <c r="C35" s="16" t="s">
        <v>125</v>
      </c>
      <c r="D35" s="110">
        <v>0</v>
      </c>
      <c r="E35" s="98">
        <f>IF(C35='Visible Top Track'!S16,$J$12-2,$J$12)</f>
        <v>902</v>
      </c>
      <c r="F35" s="53">
        <f>IF(D36&lt;&gt;0,1,0)</f>
        <v>0</v>
      </c>
      <c r="G35" s="72"/>
      <c r="H35" s="73"/>
      <c r="I35" s="19"/>
      <c r="J35" s="20"/>
      <c r="L35" s="58">
        <f>SUM(L17:L34)/D10</f>
        <v>7.1545330000000007</v>
      </c>
    </row>
    <row r="36" spans="2:24" s="27" customFormat="1" ht="20.100000000000001" customHeight="1" x14ac:dyDescent="0.25">
      <c r="B36" s="87" t="s">
        <v>53</v>
      </c>
      <c r="C36" s="16" t="s">
        <v>125</v>
      </c>
      <c r="D36" s="110">
        <v>0</v>
      </c>
      <c r="E36" s="98">
        <f>IF(C36='Visible Top Track'!S16,$J$12-2,$J$12)</f>
        <v>902</v>
      </c>
      <c r="F36" s="53">
        <f>IF(D37&lt;&gt;0,1,0)</f>
        <v>0</v>
      </c>
      <c r="G36" s="106" t="s">
        <v>62</v>
      </c>
      <c r="H36" s="104" t="s">
        <v>60</v>
      </c>
      <c r="I36" s="187" t="s">
        <v>57</v>
      </c>
      <c r="J36" s="188"/>
    </row>
    <row r="37" spans="2:24" s="27" customFormat="1" ht="20.100000000000001" customHeight="1" thickBot="1" x14ac:dyDescent="0.3">
      <c r="B37" s="92" t="s">
        <v>54</v>
      </c>
      <c r="C37" s="18" t="s">
        <v>125</v>
      </c>
      <c r="D37" s="111">
        <v>0</v>
      </c>
      <c r="E37" s="99">
        <f>IF(C37='Visible Top Track'!S16,$J$12-2,$J$12)</f>
        <v>902</v>
      </c>
      <c r="G37" s="24" t="s">
        <v>96</v>
      </c>
      <c r="H37" s="45" t="s">
        <v>10</v>
      </c>
      <c r="I37" s="189">
        <f>IF(J8&gt;=1000,D10*1.5,D10)</f>
        <v>2</v>
      </c>
      <c r="J37" s="191"/>
      <c r="L37" s="27">
        <f>IF(C33=$X$15,D33*E33/1000000*13,IF(C33=$X$16,D33*E33/1000000*11))</f>
        <v>25.7301</v>
      </c>
      <c r="X37" s="27" t="s">
        <v>121</v>
      </c>
    </row>
    <row r="38" spans="2:24" s="27" customFormat="1" ht="20.100000000000001" customHeight="1" x14ac:dyDescent="0.25">
      <c r="G38" s="24" t="s">
        <v>101</v>
      </c>
      <c r="H38" s="45" t="s">
        <v>27</v>
      </c>
      <c r="I38" s="189">
        <f>ROUNDUP(IF(D9=X45,2+D12,IF(OR(D9=X46,D9=X47,D9=X48),4+D12,6+D12))/2,0)</f>
        <v>1</v>
      </c>
      <c r="J38" s="191"/>
      <c r="L38" s="27">
        <f>IF(C34=$X$15,D34*E34/1000000*13,IF(C34=$X$16,D34*E34/1000000*11))</f>
        <v>0</v>
      </c>
      <c r="X38" s="27" t="s">
        <v>0</v>
      </c>
    </row>
    <row r="39" spans="2:24" s="27" customFormat="1" ht="20.100000000000001" customHeight="1" x14ac:dyDescent="0.25">
      <c r="C39" s="26" t="str">
        <f>IF((SUM(F32:F36)/C29)&lt;&gt;1,'Visible Top Track'!S33,'Visible Top Track'!S34)</f>
        <v>Correct insert heights</v>
      </c>
      <c r="D39" s="34">
        <f>IF(C39='Visible Top Track'!S34,1,0)</f>
        <v>1</v>
      </c>
      <c r="G39" s="24" t="s">
        <v>102</v>
      </c>
      <c r="H39" s="45" t="s">
        <v>28</v>
      </c>
      <c r="I39" s="189">
        <f>ROUNDUP(IF(OR(D9=X45,D9=X46),2+D13,4+D13)/2,0)</f>
        <v>1</v>
      </c>
      <c r="J39" s="191"/>
      <c r="L39" s="27">
        <f>IF(C35=$X$15,D35*E35/1000000*13,IF(C35=$X$16,D35*E35/1000000*11))</f>
        <v>0</v>
      </c>
      <c r="X39" s="27" t="s">
        <v>122</v>
      </c>
    </row>
    <row r="40" spans="2:24" s="27" customFormat="1" ht="20.100000000000001" customHeight="1" x14ac:dyDescent="0.25">
      <c r="G40" s="24" t="s">
        <v>97</v>
      </c>
      <c r="H40" s="45" t="s">
        <v>11</v>
      </c>
      <c r="I40" s="203">
        <f>D17*D10</f>
        <v>0</v>
      </c>
      <c r="J40" s="204"/>
      <c r="L40" s="27">
        <f>IF(C36=$X$15,D36*E36/1000000*13,IF(C36=$X$16,D36*E36/1000000*11))</f>
        <v>0</v>
      </c>
      <c r="X40" s="27" t="s">
        <v>0</v>
      </c>
    </row>
    <row r="41" spans="2:24" s="27" customFormat="1" ht="20.100000000000001" customHeight="1" thickBot="1" x14ac:dyDescent="0.35">
      <c r="C41" s="196" t="str">
        <f>IF(OR(AND(C33='Visible Top Track'!S16,D33&lt;130,D33&lt;&gt;0),AND(C34='Visible Top Track'!S16,D34&lt;130,D34&lt;&gt;0),AND(C35='Visible Top Track'!S16,D35&lt;130,D35&lt;&gt;0),AND(C36='Visible Top Track'!S16,D36&lt;130,D36&lt;&gt;0),AND(C37='Visible Top Track'!S16,D37&lt;130,D37&lt;&gt;0)),'Visible Top Track'!S39,'Visible Top Track'!S40)</f>
        <v xml:space="preserve"> </v>
      </c>
      <c r="D41" s="196"/>
      <c r="G41" s="24" t="s">
        <v>103</v>
      </c>
      <c r="H41" s="25" t="s">
        <v>23</v>
      </c>
      <c r="I41" s="205">
        <f>IF(L45&lt;30,ROUNDUP(SUM(D12:E13)/2,0),0)</f>
        <v>0</v>
      </c>
      <c r="J41" s="206"/>
      <c r="L41" s="27">
        <f>IF(C37=$X$15,D37*E37/1000000*13,IF(C37=$X$16,D37*E37/1000000*11))</f>
        <v>0</v>
      </c>
      <c r="X41" s="28"/>
    </row>
    <row r="42" spans="2:24" ht="20.100000000000001" customHeight="1" thickBot="1" x14ac:dyDescent="0.35">
      <c r="B42" s="27"/>
      <c r="C42" s="228" t="str">
        <f>IF(AND(SUM(F32:F36)/C29=1,D37=0,C29&lt;&gt;1),'Visible Top Track'!S52,'Visible Top Track'!S53)</f>
        <v xml:space="preserve"> </v>
      </c>
      <c r="D42" s="228"/>
      <c r="E42" s="27"/>
      <c r="F42" s="65"/>
      <c r="G42" s="24" t="s">
        <v>103</v>
      </c>
      <c r="H42" s="25" t="s">
        <v>24</v>
      </c>
      <c r="I42" s="205">
        <f>IF(AND(L45&gt;=30,L45&lt;50),ROUNDUP(SUM(D12:E13)/2,0),0)</f>
        <v>0</v>
      </c>
      <c r="J42" s="206"/>
      <c r="L42" s="59">
        <f>SUM(L37:L41)</f>
        <v>25.7301</v>
      </c>
    </row>
    <row r="43" spans="2:24" ht="20.100000000000001" customHeight="1" x14ac:dyDescent="0.3">
      <c r="B43" s="27"/>
      <c r="C43" s="27"/>
      <c r="D43" s="27"/>
      <c r="E43" s="65"/>
      <c r="F43" s="66"/>
      <c r="G43" s="24" t="s">
        <v>103</v>
      </c>
      <c r="H43" s="25" t="s">
        <v>25</v>
      </c>
      <c r="I43" s="205">
        <f>IF(AND(L45&gt;=50,L45&lt;70),ROUNDUP(SUM(D12:E13)/2,0),0)</f>
        <v>0</v>
      </c>
      <c r="J43" s="206"/>
    </row>
    <row r="44" spans="2:24" ht="20.100000000000001" customHeight="1" thickBot="1" x14ac:dyDescent="0.35">
      <c r="B44" s="27"/>
      <c r="C44" s="27"/>
      <c r="D44" s="27"/>
      <c r="E44" s="74"/>
      <c r="F44" s="27"/>
      <c r="G44" s="24" t="s">
        <v>98</v>
      </c>
      <c r="H44" s="61" t="s">
        <v>12</v>
      </c>
      <c r="I44" s="226">
        <f>D10*2-D12-D13</f>
        <v>4</v>
      </c>
      <c r="J44" s="227"/>
    </row>
    <row r="45" spans="2:24" ht="20.100000000000001" customHeight="1" thickBot="1" x14ac:dyDescent="0.35">
      <c r="B45" s="27"/>
      <c r="C45" s="27"/>
      <c r="D45" s="27"/>
      <c r="E45" s="27"/>
      <c r="F45" s="27"/>
      <c r="G45" s="87" t="s">
        <v>99</v>
      </c>
      <c r="H45" s="22" t="s">
        <v>22</v>
      </c>
      <c r="I45" s="176">
        <f>CEILING(J17*J7/1000,1)</f>
        <v>11</v>
      </c>
      <c r="J45" s="177"/>
      <c r="L45" s="62">
        <f>(L35+L42)*1.05</f>
        <v>34.528864650000003</v>
      </c>
      <c r="X45" s="63" t="s">
        <v>16</v>
      </c>
    </row>
    <row r="46" spans="2:24" ht="20.100000000000001" customHeight="1" x14ac:dyDescent="0.3">
      <c r="E46" s="27"/>
      <c r="F46" s="27"/>
      <c r="G46" s="24" t="s">
        <v>41</v>
      </c>
      <c r="H46" s="47" t="s">
        <v>123</v>
      </c>
      <c r="I46" s="176">
        <f>IF(D20='Visible Top Track'!S20,CEILING(I16*2/1000,1),0)</f>
        <v>0</v>
      </c>
      <c r="J46" s="177"/>
      <c r="X46" s="63" t="s">
        <v>17</v>
      </c>
    </row>
    <row r="47" spans="2:24" ht="20.100000000000001" customHeight="1" x14ac:dyDescent="0.3">
      <c r="D47" s="60"/>
      <c r="E47" s="27"/>
      <c r="F47" s="27"/>
      <c r="G47" s="67" t="s">
        <v>106</v>
      </c>
      <c r="H47" s="43" t="s">
        <v>9</v>
      </c>
      <c r="I47" s="217">
        <f>IF(B24='Visible Top Track'!S11,ROUND((D17+E18)*D10*4+(J8/300+1)*((D16+D15+D14)*2),1),0)</f>
        <v>0</v>
      </c>
      <c r="J47" s="218"/>
      <c r="X47" s="63" t="s">
        <v>18</v>
      </c>
    </row>
    <row r="48" spans="2:24" ht="20.100000000000001" customHeight="1" x14ac:dyDescent="0.3">
      <c r="C48" s="60"/>
      <c r="D48" s="60"/>
      <c r="E48" s="27"/>
      <c r="F48" s="27"/>
      <c r="G48" s="67" t="s">
        <v>105</v>
      </c>
      <c r="H48" s="43" t="s">
        <v>15</v>
      </c>
      <c r="I48" s="229">
        <f>J28*4+J29*2</f>
        <v>28</v>
      </c>
      <c r="J48" s="230"/>
      <c r="L48" s="75"/>
      <c r="X48" s="63" t="s">
        <v>19</v>
      </c>
    </row>
    <row r="49" spans="2:24" ht="20.100000000000001" customHeight="1" x14ac:dyDescent="0.3">
      <c r="C49" s="64"/>
      <c r="D49" s="64"/>
      <c r="E49" s="27"/>
      <c r="F49" s="27"/>
      <c r="G49" s="68" t="s">
        <v>104</v>
      </c>
      <c r="H49" s="47" t="s">
        <v>21</v>
      </c>
      <c r="I49" s="224">
        <f>CEILING(SUM(I30*J30,I31*J31,I32*J32,I33*J33,I34*J34)/1000,1)</f>
        <v>11</v>
      </c>
      <c r="J49" s="225"/>
      <c r="X49" s="63" t="s">
        <v>20</v>
      </c>
    </row>
    <row r="50" spans="2:24" ht="20.100000000000001" customHeight="1" x14ac:dyDescent="0.3">
      <c r="C50" s="64"/>
      <c r="D50" s="64"/>
      <c r="E50" s="27"/>
      <c r="F50" s="27"/>
      <c r="G50" s="24" t="s">
        <v>126</v>
      </c>
      <c r="H50" s="25" t="s">
        <v>29</v>
      </c>
      <c r="I50" s="172">
        <f>IF(D21=X20,D11,0)</f>
        <v>0</v>
      </c>
      <c r="J50" s="185"/>
    </row>
    <row r="51" spans="2:24" ht="20.100000000000001" customHeight="1" x14ac:dyDescent="0.3">
      <c r="C51" s="60"/>
      <c r="D51" s="60"/>
      <c r="E51" s="27"/>
      <c r="F51" s="27"/>
      <c r="G51" s="24" t="s">
        <v>109</v>
      </c>
      <c r="H51" s="45"/>
      <c r="I51" s="217">
        <f>I18*J18/250*1.1</f>
        <v>15.769600000000002</v>
      </c>
      <c r="J51" s="218"/>
      <c r="X51" s="69"/>
    </row>
    <row r="52" spans="2:24" ht="20.100000000000001" customHeight="1" x14ac:dyDescent="0.3">
      <c r="B52" s="156" t="s">
        <v>58</v>
      </c>
      <c r="C52" s="60"/>
      <c r="D52" s="60"/>
      <c r="E52" s="27"/>
      <c r="G52" s="49" t="s">
        <v>111</v>
      </c>
      <c r="H52" s="45"/>
      <c r="I52" s="217">
        <f>(IF(C33='Visible Top Track'!S15,(D33/250)*2*D10+IF(D37&lt;&gt;0,(E33/250)*D10,0)+I38*8+(D33/300)*2*J21,0)+IF(AND(C34='Visible Top Track'!S15,D34&lt;&gt;0),(D34/250)*2*D10+(E34/250)*D10*2+(D34/300)*2*J21,0)+IF(AND(C35='Visible Top Track'!S15,D35&lt;&gt;0),(D35/250)*2*D10+(E35/250)*D10*2+(D35/300)*2*J21,0)+IF(AND(C36='Visible Top Track'!S15,D36&lt;&gt;0),(D36/250)*2*D10+(E36/250)*D10*2+(D36/300)*2*J21,0)+IF(AND(C37='Visible Top Track'!S15,D37&lt;&gt;0),(D37/250)*2*D10+(E37/250)*D10*2+(D37/300)*2*J21+I37*8,0)+I19*J19/250+I20*J20/250)*1.1</f>
        <v>0</v>
      </c>
      <c r="J52" s="218"/>
      <c r="X52" s="28" t="s">
        <v>118</v>
      </c>
    </row>
    <row r="53" spans="2:24" ht="19.5" customHeight="1" x14ac:dyDescent="0.3">
      <c r="B53" s="156"/>
      <c r="C53" s="60"/>
      <c r="D53" s="60"/>
      <c r="E53" s="28"/>
      <c r="G53" s="24" t="s">
        <v>110</v>
      </c>
      <c r="H53" s="45"/>
      <c r="I53" s="217">
        <f>J24*2*1.1</f>
        <v>0</v>
      </c>
      <c r="J53" s="218"/>
      <c r="X53" s="28" t="s">
        <v>0</v>
      </c>
    </row>
    <row r="54" spans="2:24" ht="19.5" customHeight="1" thickBot="1" x14ac:dyDescent="0.35">
      <c r="B54" s="156"/>
      <c r="C54" s="60"/>
      <c r="D54" s="60"/>
      <c r="E54" s="28"/>
      <c r="G54" s="29" t="s">
        <v>112</v>
      </c>
      <c r="H54" s="70"/>
      <c r="I54" s="222">
        <f>((J23*2+I22*J22/250+D17*2*D10)+IF(C33='Visible Top Track'!S16,(D33/250)*2*D10+IF(D37&lt;&gt;0,(E33/250)*D10*4,0)+I38*8+I39*8+(D33/300)*2*J21,0)+IF(AND(C34='Visible Top Track'!S16,D34&lt;&gt;0),(D34/250)*2*D10+(E34/250)*D10*4+(D34/300)*2*J21,0)+IF(AND(C35='Visible Top Track'!S16,D35&lt;&gt;0),(D35/250)*2*D10+(E35/250)*D10*4+(D35/300)*2*J21,0)+IF(AND(C36='Visible Top Track'!S16,D36&lt;&gt;0),(D36/250)*2*D10+(E36/250)*D10*4+(D36/300)*2*J21,0)+IF(AND(C37='Visible Top Track'!S16,D37&lt;&gt;0),(D37/250)*2*D10+(E37/250)*D10*4+(D37/300)*2*J21+I37*8,0))*1.1</f>
        <v>139.57973333333337</v>
      </c>
      <c r="J54" s="223"/>
    </row>
    <row r="55" spans="2:24" ht="20.100000000000001" hidden="1" customHeight="1" x14ac:dyDescent="0.3">
      <c r="D55" s="28"/>
      <c r="E55" s="28"/>
      <c r="G55" s="76"/>
      <c r="H55" s="77"/>
      <c r="I55" s="32"/>
      <c r="J55" s="78"/>
    </row>
    <row r="56" spans="2:24" x14ac:dyDescent="0.3">
      <c r="X56" s="28" t="s">
        <v>115</v>
      </c>
    </row>
    <row r="57" spans="2:24" x14ac:dyDescent="0.3">
      <c r="G57" s="76" t="s">
        <v>76</v>
      </c>
      <c r="J57" s="86" t="s">
        <v>77</v>
      </c>
      <c r="X57" s="28" t="s">
        <v>116</v>
      </c>
    </row>
    <row r="58" spans="2:24" ht="19.5" thickBot="1" x14ac:dyDescent="0.35">
      <c r="H58" s="79"/>
      <c r="I58" s="30"/>
      <c r="J58" s="31"/>
      <c r="X58" s="28" t="s">
        <v>117</v>
      </c>
    </row>
    <row r="59" spans="2:24" ht="19.5" thickBot="1" x14ac:dyDescent="0.35">
      <c r="D59" s="107" t="s">
        <v>64</v>
      </c>
      <c r="E59" s="108">
        <f>ROUNDUP(L45,0)</f>
        <v>35</v>
      </c>
      <c r="G59" s="109" t="s">
        <v>127</v>
      </c>
    </row>
    <row r="60" spans="2:24" x14ac:dyDescent="0.3">
      <c r="G60" s="76"/>
    </row>
    <row r="61" spans="2:24" x14ac:dyDescent="0.3">
      <c r="G61" s="109" t="s">
        <v>128</v>
      </c>
    </row>
    <row r="78" spans="7:7" x14ac:dyDescent="0.3">
      <c r="G78" s="69"/>
    </row>
  </sheetData>
  <sheetProtection algorithmName="SHA-512" hashValue="N1y/k/mwm/HboSLEZWHLNUO0j1auhoB2r3BsXXP2eh63MaMLjOKky1v96qz49yAbtqmjOL9+ZCtOuAEG7Ju2IA==" saltValue="mNkXc2rP3+Gd/r1fUTF9xQ==" spinCount="100000" sheet="1" selectLockedCells="1"/>
  <mergeCells count="62">
    <mergeCell ref="D15:E15"/>
    <mergeCell ref="B27:D27"/>
    <mergeCell ref="D17:E17"/>
    <mergeCell ref="B19:C19"/>
    <mergeCell ref="B16:C16"/>
    <mergeCell ref="I54:J54"/>
    <mergeCell ref="I49:J49"/>
    <mergeCell ref="C41:D41"/>
    <mergeCell ref="I44:J44"/>
    <mergeCell ref="C42:D42"/>
    <mergeCell ref="I48:J48"/>
    <mergeCell ref="I47:J47"/>
    <mergeCell ref="I50:J50"/>
    <mergeCell ref="B18:C18"/>
    <mergeCell ref="B20:C20"/>
    <mergeCell ref="D19:E19"/>
    <mergeCell ref="I52:J52"/>
    <mergeCell ref="B21:C21"/>
    <mergeCell ref="I53:J53"/>
    <mergeCell ref="I51:J51"/>
    <mergeCell ref="D10:E10"/>
    <mergeCell ref="D12:E12"/>
    <mergeCell ref="I36:J36"/>
    <mergeCell ref="I37:J37"/>
    <mergeCell ref="D14:E14"/>
    <mergeCell ref="D16:E16"/>
    <mergeCell ref="G11:H12"/>
    <mergeCell ref="D29:E29"/>
    <mergeCell ref="B26:D26"/>
    <mergeCell ref="B12:C12"/>
    <mergeCell ref="B13:C13"/>
    <mergeCell ref="B52:B54"/>
    <mergeCell ref="B15:C15"/>
    <mergeCell ref="B17:C17"/>
    <mergeCell ref="G5:J5"/>
    <mergeCell ref="D7:E7"/>
    <mergeCell ref="D8:E8"/>
    <mergeCell ref="D9:E9"/>
    <mergeCell ref="B14:C14"/>
    <mergeCell ref="G7:H8"/>
    <mergeCell ref="B9:C9"/>
    <mergeCell ref="B7:C7"/>
    <mergeCell ref="B8:C8"/>
    <mergeCell ref="B10:C10"/>
    <mergeCell ref="B11:C11"/>
    <mergeCell ref="D11:E11"/>
    <mergeCell ref="B2:K2"/>
    <mergeCell ref="B3:K3"/>
    <mergeCell ref="I38:J38"/>
    <mergeCell ref="I45:J45"/>
    <mergeCell ref="I46:J46"/>
    <mergeCell ref="I40:J40"/>
    <mergeCell ref="D13:E13"/>
    <mergeCell ref="D20:E20"/>
    <mergeCell ref="I39:J39"/>
    <mergeCell ref="D21:E21"/>
    <mergeCell ref="I41:J41"/>
    <mergeCell ref="I42:J42"/>
    <mergeCell ref="I43:J43"/>
    <mergeCell ref="B5:E5"/>
    <mergeCell ref="B23:C23"/>
    <mergeCell ref="B24:C24"/>
  </mergeCells>
  <conditionalFormatting sqref="D13:E13">
    <cfRule type="expression" dxfId="13" priority="1">
      <formula>OR(AND(OR(D9=X46,D9=X45),D13&gt;2),AND(OR(D9=X47,D9=X48,D9=X49),D13&gt;4))</formula>
    </cfRule>
  </conditionalFormatting>
  <conditionalFormatting sqref="D12:E12">
    <cfRule type="expression" dxfId="12" priority="19">
      <formula>OR(AND(D9=X45,D12&gt;2),AND(OR(D9=X46,D9=X47,D9=X48),D12&gt;4),AND(D51=X9,D12&gt;6))</formula>
    </cfRule>
  </conditionalFormatting>
  <dataValidations count="8">
    <dataValidation type="whole" operator="greaterThan" allowBlank="1" showInputMessage="1" showErrorMessage="1" sqref="D14:E16 D17">
      <formula1>-1</formula1>
    </dataValidation>
    <dataValidation type="whole" allowBlank="1" showInputMessage="1" showErrorMessage="1" sqref="D10:E10">
      <formula1>1</formula1>
      <formula2>5</formula2>
    </dataValidation>
    <dataValidation type="whole" allowBlank="1" showInputMessage="1" showErrorMessage="1" sqref="E18">
      <formula1>0</formula1>
      <formula2>2</formula2>
    </dataValidation>
    <dataValidation type="whole" allowBlank="1" showInputMessage="1" showErrorMessage="1" sqref="D11:E11">
      <formula1>1</formula1>
      <formula2>4</formula2>
    </dataValidation>
    <dataValidation type="list" allowBlank="1" showInputMessage="1" showErrorMessage="1" sqref="D9:E9">
      <formula1>$X$45:$X$49</formula1>
    </dataValidation>
    <dataValidation type="list" allowBlank="1" showInputMessage="1" showErrorMessage="1" sqref="D21:E21 D19:E19">
      <formula1>$X$20:$X$21</formula1>
    </dataValidation>
    <dataValidation type="whole" allowBlank="1" showInputMessage="1" showErrorMessage="1" errorTitle="Неверное количество" error="Не более двух доводчиков на одну дверь." sqref="D13:E13">
      <formula1>-1</formula1>
      <formula2>IF(OR(D9=X46,D9=X45),2,4)</formula2>
    </dataValidation>
    <dataValidation type="whole" allowBlank="1" showInputMessage="1" showErrorMessage="1" errorTitle="Неверное количество" error="Не более двух доводчиков на одну дверь." sqref="D12:E12">
      <formula1>-1</formula1>
      <formula2>IF(D9=X45,2,IF(OR(D9=X46,D9=X47,D9=X48),4,6))</formula2>
    </dataValidation>
  </dataValidations>
  <hyperlinks>
    <hyperlink ref="J57" location="Contents!A1" display="Contents"/>
  </hyperlinks>
  <printOptions horizontalCentered="1"/>
  <pageMargins left="0.39370078740157483" right="0.39370078740157483" top="0.39370078740157483" bottom="0.39370078740157483" header="0" footer="0"/>
  <pageSetup paperSize="9" scale="7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511E95E3-1AA3-42E9-87C9-763EB0071AB3}">
            <xm:f>$C$39='Visible Top Track'!$S$33</xm:f>
            <x14:dxf>
              <fill>
                <patternFill>
                  <bgColor rgb="FFFF0000"/>
                </patternFill>
              </fill>
            </x14:dxf>
          </x14:cfRule>
          <x14:cfRule type="expression" priority="9" id="{7DA82748-5B57-4C18-93CB-0EA53F35C49F}">
            <xm:f>$C$39='Visible Top Track'!$S$34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m:sqref>C39</xm:sqref>
        </x14:conditionalFormatting>
        <x14:conditionalFormatting xmlns:xm="http://schemas.microsoft.com/office/excel/2006/main">
          <x14:cfRule type="expression" priority="6" id="{B41BA582-B011-4A5A-B4E0-9D90B4F37AEC}">
            <xm:f>$D$29='Visible Top Track'!$S$37</xm:f>
            <x14:dxf>
              <fill>
                <patternFill>
                  <bgColor rgb="FFFF0000"/>
                </patternFill>
              </fill>
            </x14:dxf>
          </x14:cfRule>
          <xm:sqref>D29:E29</xm:sqref>
        </x14:conditionalFormatting>
        <x14:conditionalFormatting xmlns:xm="http://schemas.microsoft.com/office/excel/2006/main">
          <x14:cfRule type="expression" priority="5" id="{DD364A56-EDF6-4EC0-B8EA-45590122B364}">
            <xm:f>$C$41='Visible Top Track'!$S$39</xm:f>
            <x14:dxf>
              <fill>
                <patternFill>
                  <bgColor rgb="FFFF0000"/>
                </patternFill>
              </fill>
            </x14:dxf>
          </x14:cfRule>
          <xm:sqref>C41</xm:sqref>
        </x14:conditionalFormatting>
        <x14:conditionalFormatting xmlns:xm="http://schemas.microsoft.com/office/excel/2006/main">
          <x14:cfRule type="iconSet" priority="7" id="{11D2B965-D1E5-40D9-A145-A951E12B7710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D39</xm:sqref>
        </x14:conditionalFormatting>
        <x14:conditionalFormatting xmlns:xm="http://schemas.microsoft.com/office/excel/2006/main">
          <x14:cfRule type="expression" priority="3" id="{0DB9F9AF-3EC4-4264-B38C-213E74183AA7}">
            <xm:f>$C$42='Visible Top Track'!$S$52</xm:f>
            <x14:dxf>
              <fill>
                <patternFill>
                  <bgColor rgb="FFFF0000"/>
                </patternFill>
              </fill>
            </x14:dxf>
          </x14:cfRule>
          <xm:sqref>C42:D42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'Visible Top Track'!$S$10:$S$11</xm:f>
          </x14:formula1>
          <xm:sqref>B24</xm:sqref>
        </x14:dataValidation>
        <x14:dataValidation type="list" allowBlank="1" showInputMessage="1" showErrorMessage="1">
          <x14:formula1>
            <xm:f>'Visible Top Track'!$S$15:$S$16</xm:f>
          </x14:formula1>
          <xm:sqref>C33:C37</xm:sqref>
        </x14:dataValidation>
        <x14:dataValidation type="list" allowBlank="1" showInputMessage="1" showErrorMessage="1">
          <x14:formula1>
            <xm:f>'Visible Top Track'!$S$20:$S$21</xm:f>
          </x14:formula1>
          <xm:sqref>D20:E20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82"/>
  <sheetViews>
    <sheetView zoomScale="70" zoomScaleNormal="70" workbookViewId="0">
      <selection activeCell="D7" sqref="D7:E7"/>
    </sheetView>
  </sheetViews>
  <sheetFormatPr defaultColWidth="9.140625" defaultRowHeight="18.75" x14ac:dyDescent="0.3"/>
  <cols>
    <col min="1" max="1" width="4.7109375" style="28" customWidth="1"/>
    <col min="2" max="3" width="43.7109375" style="28" customWidth="1"/>
    <col min="4" max="5" width="14.7109375" style="34" customWidth="1"/>
    <col min="6" max="6" width="3.7109375" style="28" customWidth="1"/>
    <col min="7" max="7" width="79.7109375" style="28" customWidth="1"/>
    <col min="8" max="8" width="20.7109375" style="28" customWidth="1"/>
    <col min="9" max="10" width="17.7109375" style="28" customWidth="1"/>
    <col min="11" max="12" width="9.140625" style="28" hidden="1" customWidth="1"/>
    <col min="13" max="22" width="9.140625" style="28"/>
    <col min="23" max="23" width="17.85546875" style="28" hidden="1" customWidth="1"/>
    <col min="24" max="24" width="28.5703125" style="28" hidden="1" customWidth="1"/>
    <col min="25" max="25" width="9.140625" style="28" hidden="1" customWidth="1"/>
    <col min="26" max="26" width="0" style="28" hidden="1" customWidth="1"/>
    <col min="27" max="16384" width="9.140625" style="28"/>
  </cols>
  <sheetData>
    <row r="1" spans="2:25" x14ac:dyDescent="0.3">
      <c r="C1" s="33"/>
    </row>
    <row r="2" spans="2:25" s="27" customFormat="1" ht="27.6" customHeight="1" x14ac:dyDescent="0.25">
      <c r="B2" s="126" t="s">
        <v>130</v>
      </c>
      <c r="C2" s="126"/>
      <c r="D2" s="126"/>
      <c r="E2" s="126"/>
      <c r="F2" s="126"/>
      <c r="G2" s="127"/>
      <c r="H2" s="127"/>
      <c r="I2" s="127"/>
      <c r="J2" s="127"/>
      <c r="K2" s="127"/>
      <c r="X2" s="125" t="s">
        <v>80</v>
      </c>
      <c r="Y2" s="27" t="s">
        <v>78</v>
      </c>
    </row>
    <row r="3" spans="2:25" s="35" customFormat="1" ht="26.1" customHeight="1" x14ac:dyDescent="0.25">
      <c r="B3" s="126" t="s">
        <v>34</v>
      </c>
      <c r="C3" s="126"/>
      <c r="D3" s="126"/>
      <c r="E3" s="126"/>
      <c r="F3" s="126"/>
      <c r="G3" s="127"/>
      <c r="H3" s="127"/>
      <c r="I3" s="127"/>
      <c r="J3" s="127"/>
      <c r="K3" s="127"/>
      <c r="X3" s="35" t="s">
        <v>131</v>
      </c>
      <c r="Y3" s="27" t="s">
        <v>124</v>
      </c>
    </row>
    <row r="4" spans="2:25" s="35" customFormat="1" ht="20.100000000000001" customHeight="1" x14ac:dyDescent="0.3">
      <c r="C4" s="36"/>
      <c r="D4" s="36"/>
      <c r="E4" s="36"/>
      <c r="G4" s="37"/>
      <c r="H4" s="37"/>
      <c r="I4" s="37"/>
      <c r="J4" s="37"/>
    </row>
    <row r="5" spans="2:25" s="35" customFormat="1" ht="20.100000000000001" customHeight="1" x14ac:dyDescent="0.25">
      <c r="B5" s="134" t="s">
        <v>30</v>
      </c>
      <c r="C5" s="134"/>
      <c r="D5" s="134"/>
      <c r="E5" s="134"/>
      <c r="G5" s="145" t="s">
        <v>42</v>
      </c>
      <c r="H5" s="145"/>
      <c r="I5" s="145"/>
      <c r="J5" s="145"/>
    </row>
    <row r="6" spans="2:25" s="35" customFormat="1" ht="20.100000000000001" customHeight="1" thickBot="1" x14ac:dyDescent="0.3">
      <c r="C6" s="38"/>
      <c r="D6" s="38"/>
      <c r="E6" s="38"/>
      <c r="G6" s="38"/>
      <c r="H6" s="38"/>
      <c r="I6" s="38"/>
      <c r="J6" s="38"/>
      <c r="X6" s="27"/>
    </row>
    <row r="7" spans="2:25" s="27" customFormat="1" ht="20.100000000000001" customHeight="1" x14ac:dyDescent="0.25">
      <c r="B7" s="154" t="s">
        <v>35</v>
      </c>
      <c r="C7" s="155"/>
      <c r="D7" s="146">
        <v>2600</v>
      </c>
      <c r="E7" s="147"/>
      <c r="G7" s="137" t="s">
        <v>43</v>
      </c>
      <c r="H7" s="138"/>
      <c r="I7" s="88" t="s">
        <v>44</v>
      </c>
      <c r="J7" s="101">
        <f>IF(D19=X21,D7-32,D7-26)</f>
        <v>2568</v>
      </c>
    </row>
    <row r="8" spans="2:25" s="27" customFormat="1" ht="20.100000000000001" customHeight="1" thickBot="1" x14ac:dyDescent="0.3">
      <c r="B8" s="112" t="s">
        <v>36</v>
      </c>
      <c r="C8" s="114"/>
      <c r="D8" s="148">
        <v>1800</v>
      </c>
      <c r="E8" s="149"/>
      <c r="G8" s="139"/>
      <c r="H8" s="140"/>
      <c r="I8" s="89" t="s">
        <v>45</v>
      </c>
      <c r="J8" s="102">
        <f>ROUNDUP(IF(AND(OR(D21=X57,D21=X58),D9=X48),(D8-20+D11*12)/D10,
IF(AND(OR(D21=X57,D21=X58),D9&lt;&gt;X48),(D8-10+D11*12)/D10,(D8+D11*12)/D10)),0)</f>
        <v>901</v>
      </c>
    </row>
    <row r="9" spans="2:25" s="27" customFormat="1" ht="20.100000000000001" customHeight="1" x14ac:dyDescent="0.25">
      <c r="B9" s="201" t="s">
        <v>37</v>
      </c>
      <c r="C9" s="202"/>
      <c r="D9" s="152" t="s">
        <v>16</v>
      </c>
      <c r="E9" s="153"/>
      <c r="G9" s="39"/>
      <c r="H9" s="39"/>
      <c r="I9" s="40"/>
      <c r="J9" s="21"/>
    </row>
    <row r="10" spans="2:25" s="27" customFormat="1" ht="20.100000000000001" customHeight="1" thickBot="1" x14ac:dyDescent="0.3">
      <c r="B10" s="236" t="s">
        <v>38</v>
      </c>
      <c r="C10" s="237"/>
      <c r="D10" s="150">
        <f>IF(D9='Visible Top Track'!S45,2,IF(D9='Visible Top Track'!S46,3,IF(D9='Visible Top Track'!S47,4,IF(D9='Visible Top Track'!S48,4,IF(D9='Visible Top Track'!S49,5)))))</f>
        <v>2</v>
      </c>
      <c r="E10" s="151"/>
      <c r="G10" s="39"/>
      <c r="H10" s="39"/>
      <c r="I10" s="40"/>
      <c r="J10" s="1"/>
      <c r="X10" s="27" t="s">
        <v>88</v>
      </c>
    </row>
    <row r="11" spans="2:25" s="27" customFormat="1" ht="20.100000000000001" customHeight="1" x14ac:dyDescent="0.25">
      <c r="B11" s="201" t="s">
        <v>39</v>
      </c>
      <c r="C11" s="202"/>
      <c r="D11" s="150">
        <f>IF(D9='Visible Top Track'!S45,1,IF(D9='Visible Top Track'!S46,2,IF(D9='Visible Top Track'!S47,3,IF(D9='Visible Top Track'!S48,2,IF(D9='Visible Top Track'!S49,4)))))</f>
        <v>1</v>
      </c>
      <c r="E11" s="151"/>
      <c r="G11" s="141" t="s">
        <v>46</v>
      </c>
      <c r="H11" s="142"/>
      <c r="I11" s="88" t="s">
        <v>63</v>
      </c>
      <c r="J11" s="101">
        <f>ROUNDDOWN(J7-1.6*D14-26*D15-3.5*2-D16*26,0)</f>
        <v>2561</v>
      </c>
      <c r="X11" s="27" t="s">
        <v>106</v>
      </c>
    </row>
    <row r="12" spans="2:25" s="27" customFormat="1" ht="20.100000000000001" customHeight="1" thickBot="1" x14ac:dyDescent="0.3">
      <c r="B12" s="220" t="s">
        <v>72</v>
      </c>
      <c r="C12" s="221"/>
      <c r="D12" s="135">
        <v>0</v>
      </c>
      <c r="E12" s="136"/>
      <c r="G12" s="143"/>
      <c r="H12" s="144"/>
      <c r="I12" s="89" t="s">
        <v>45</v>
      </c>
      <c r="J12" s="102">
        <f>J8-4</f>
        <v>897</v>
      </c>
    </row>
    <row r="13" spans="2:25" s="27" customFormat="1" ht="20.100000000000001" customHeight="1" thickBot="1" x14ac:dyDescent="0.3">
      <c r="B13" s="234" t="s">
        <v>73</v>
      </c>
      <c r="C13" s="235"/>
      <c r="D13" s="135">
        <v>0</v>
      </c>
      <c r="E13" s="136"/>
      <c r="G13" s="39"/>
      <c r="H13" s="39"/>
      <c r="I13" s="41"/>
      <c r="J13" s="42"/>
    </row>
    <row r="14" spans="2:25" s="27" customFormat="1" ht="20.100000000000001" customHeight="1" x14ac:dyDescent="0.25">
      <c r="B14" s="163" t="s">
        <v>68</v>
      </c>
      <c r="C14" s="164"/>
      <c r="D14" s="135">
        <v>0</v>
      </c>
      <c r="E14" s="136"/>
      <c r="G14" s="103" t="s">
        <v>59</v>
      </c>
      <c r="H14" s="104" t="s">
        <v>60</v>
      </c>
      <c r="I14" s="88" t="s">
        <v>61</v>
      </c>
      <c r="J14" s="105" t="s">
        <v>57</v>
      </c>
    </row>
    <row r="15" spans="2:25" s="27" customFormat="1" ht="20.100000000000001" customHeight="1" x14ac:dyDescent="0.3">
      <c r="B15" s="163" t="s">
        <v>66</v>
      </c>
      <c r="C15" s="164"/>
      <c r="D15" s="135">
        <v>0</v>
      </c>
      <c r="E15" s="136"/>
      <c r="G15" s="121" t="s">
        <v>79</v>
      </c>
      <c r="H15" s="43" t="s">
        <v>1</v>
      </c>
      <c r="I15" s="116">
        <f>D8-2</f>
        <v>1798</v>
      </c>
      <c r="J15" s="2">
        <v>1</v>
      </c>
      <c r="K15" s="27">
        <v>0.75800000000000001</v>
      </c>
      <c r="L15" s="44">
        <f>I15*K15*J15/1000</f>
        <v>1.362884</v>
      </c>
      <c r="X15" s="27" t="s">
        <v>125</v>
      </c>
    </row>
    <row r="16" spans="2:25" s="27" customFormat="1" ht="20.100000000000001" customHeight="1" x14ac:dyDescent="0.3">
      <c r="B16" s="163" t="s">
        <v>67</v>
      </c>
      <c r="C16" s="165"/>
      <c r="D16" s="135">
        <v>0</v>
      </c>
      <c r="E16" s="136"/>
      <c r="G16" s="121" t="str">
        <f>IF(D19=X21,X2,X3)</f>
        <v>Double Bottom Track</v>
      </c>
      <c r="H16" s="43" t="str">
        <f>IF(D19=X21,Y2,Y3)</f>
        <v>CKRU0504/0009</v>
      </c>
      <c r="I16" s="116">
        <f>D8-2</f>
        <v>1798</v>
      </c>
      <c r="J16" s="2">
        <f>IF(D19=X21,1,2)</f>
        <v>1</v>
      </c>
      <c r="K16" s="27">
        <v>0.33700000000000002</v>
      </c>
      <c r="L16" s="44">
        <f t="shared" ref="L16:L34" si="0">I16*K16*J16/1000</f>
        <v>0.60592600000000008</v>
      </c>
      <c r="X16" s="27" t="s">
        <v>113</v>
      </c>
    </row>
    <row r="17" spans="2:24" s="27" customFormat="1" ht="20.100000000000001" customHeight="1" x14ac:dyDescent="0.3">
      <c r="B17" s="163" t="s">
        <v>70</v>
      </c>
      <c r="C17" s="164"/>
      <c r="D17" s="135">
        <v>0</v>
      </c>
      <c r="E17" s="136"/>
      <c r="G17" s="24" t="s">
        <v>81</v>
      </c>
      <c r="H17" s="43" t="s">
        <v>2</v>
      </c>
      <c r="I17" s="117">
        <f>J7</f>
        <v>2568</v>
      </c>
      <c r="J17" s="3">
        <f>D10*2</f>
        <v>4</v>
      </c>
      <c r="K17" s="27">
        <v>0.29799999999999999</v>
      </c>
      <c r="L17" s="44">
        <f t="shared" si="0"/>
        <v>3.0610560000000002</v>
      </c>
    </row>
    <row r="18" spans="2:24" s="27" customFormat="1" ht="20.100000000000001" customHeight="1" x14ac:dyDescent="0.3">
      <c r="B18" s="161" t="s">
        <v>71</v>
      </c>
      <c r="C18" s="162"/>
      <c r="D18" s="100">
        <v>140</v>
      </c>
      <c r="E18" s="23">
        <v>0</v>
      </c>
      <c r="G18" s="24" t="s">
        <v>82</v>
      </c>
      <c r="H18" s="43" t="s">
        <v>3</v>
      </c>
      <c r="I18" s="117">
        <f>J8-2*5</f>
        <v>891</v>
      </c>
      <c r="J18" s="3">
        <f>(D14+2)*D10</f>
        <v>4</v>
      </c>
      <c r="K18" s="27">
        <v>6.8000000000000005E-2</v>
      </c>
      <c r="L18" s="44">
        <f t="shared" si="0"/>
        <v>0.24235200000000001</v>
      </c>
    </row>
    <row r="19" spans="2:24" s="27" customFormat="1" ht="20.100000000000001" customHeight="1" x14ac:dyDescent="0.3">
      <c r="B19" s="170" t="s">
        <v>131</v>
      </c>
      <c r="C19" s="171"/>
      <c r="D19" s="199" t="s">
        <v>115</v>
      </c>
      <c r="E19" s="200"/>
      <c r="G19" s="24" t="s">
        <v>83</v>
      </c>
      <c r="H19" s="45" t="s">
        <v>4</v>
      </c>
      <c r="I19" s="117">
        <f>IF(J19&lt;&gt;0,I18,0)</f>
        <v>0</v>
      </c>
      <c r="J19" s="3">
        <f>D15*D10-IF(D15&gt;0,IF(E18&gt;0,D10,IF(D17&gt;0,D10,0)),0)</f>
        <v>0</v>
      </c>
      <c r="K19" s="27">
        <v>0.30499999999999999</v>
      </c>
      <c r="L19" s="44">
        <f t="shared" si="0"/>
        <v>0</v>
      </c>
    </row>
    <row r="20" spans="2:24" s="27" customFormat="1" ht="20.100000000000001" customHeight="1" x14ac:dyDescent="0.3">
      <c r="B20" s="166" t="s">
        <v>41</v>
      </c>
      <c r="C20" s="167"/>
      <c r="D20" s="199" t="s">
        <v>115</v>
      </c>
      <c r="E20" s="200"/>
      <c r="G20" s="24" t="s">
        <v>84</v>
      </c>
      <c r="H20" s="45" t="s">
        <v>4</v>
      </c>
      <c r="I20" s="117">
        <f>IF(J20&lt;&gt;0,I18-D18*E18-200*D17,0)</f>
        <v>0</v>
      </c>
      <c r="J20" s="3">
        <f>IF(D15&gt;0,IF(E18&gt;0,D10,IF(D17&gt;0,D10,0)),0)</f>
        <v>0</v>
      </c>
      <c r="K20" s="27">
        <v>0.30499999999999999</v>
      </c>
      <c r="L20" s="44">
        <f t="shared" si="0"/>
        <v>0</v>
      </c>
      <c r="X20" s="27" t="s">
        <v>114</v>
      </c>
    </row>
    <row r="21" spans="2:24" s="27" customFormat="1" ht="20.100000000000001" customHeight="1" x14ac:dyDescent="0.3">
      <c r="B21" s="166" t="str">
        <f>'Visible Top Track'!B20:C20</f>
        <v>Element for the side surface of the door</v>
      </c>
      <c r="C21" s="167"/>
      <c r="D21" s="194" t="s">
        <v>116</v>
      </c>
      <c r="E21" s="195"/>
      <c r="G21" s="24" t="s">
        <v>85</v>
      </c>
      <c r="H21" s="45" t="s">
        <v>5</v>
      </c>
      <c r="I21" s="118">
        <f>J7-20</f>
        <v>2548</v>
      </c>
      <c r="J21" s="4">
        <f>IF(J8&lt;1000,D10*2,D10*3)</f>
        <v>4</v>
      </c>
      <c r="K21" s="27">
        <v>0.41299999999999998</v>
      </c>
      <c r="L21" s="44">
        <f t="shared" si="0"/>
        <v>4.2092959999999993</v>
      </c>
      <c r="X21" s="27" t="s">
        <v>115</v>
      </c>
    </row>
    <row r="22" spans="2:24" s="27" customFormat="1" ht="20.100000000000001" customHeight="1" thickBot="1" x14ac:dyDescent="0.35">
      <c r="B22" s="130" t="s">
        <v>47</v>
      </c>
      <c r="C22" s="131"/>
      <c r="D22" s="132" t="s">
        <v>115</v>
      </c>
      <c r="E22" s="133"/>
      <c r="G22" s="24" t="s">
        <v>86</v>
      </c>
      <c r="H22" s="47" t="s">
        <v>6</v>
      </c>
      <c r="I22" s="118">
        <f>IF(D16&lt;&gt;0,I18,0)</f>
        <v>0</v>
      </c>
      <c r="J22" s="4">
        <f>D16*D10</f>
        <v>0</v>
      </c>
      <c r="K22" s="27">
        <v>0.29499999999999998</v>
      </c>
      <c r="L22" s="44">
        <f t="shared" si="0"/>
        <v>0</v>
      </c>
    </row>
    <row r="23" spans="2:24" s="27" customFormat="1" ht="20.100000000000001" customHeight="1" thickBot="1" x14ac:dyDescent="0.35">
      <c r="E23" s="115"/>
      <c r="G23" s="46" t="s">
        <v>87</v>
      </c>
      <c r="H23" s="47" t="s">
        <v>6</v>
      </c>
      <c r="I23" s="117">
        <f>IF(E18&lt;&gt;0,D18,0)</f>
        <v>0</v>
      </c>
      <c r="J23" s="3">
        <f>E18*D10</f>
        <v>0</v>
      </c>
      <c r="K23" s="27">
        <v>0.29499999999999998</v>
      </c>
      <c r="L23" s="44">
        <f t="shared" si="0"/>
        <v>0</v>
      </c>
    </row>
    <row r="24" spans="2:24" s="27" customFormat="1" ht="20.100000000000001" customHeight="1" x14ac:dyDescent="0.3">
      <c r="B24" s="207" t="s">
        <v>74</v>
      </c>
      <c r="C24" s="208"/>
      <c r="E24" s="76"/>
      <c r="G24" s="46" t="s">
        <v>89</v>
      </c>
      <c r="H24" s="47" t="s">
        <v>7</v>
      </c>
      <c r="I24" s="117">
        <f>IF(OR(E18&lt;&gt;0,D16&lt;&gt;0),23,0)</f>
        <v>0</v>
      </c>
      <c r="J24" s="3">
        <f>(E18+D16)*2*D10</f>
        <v>0</v>
      </c>
      <c r="K24" s="27">
        <v>9.799999999999999E-2</v>
      </c>
      <c r="L24" s="44">
        <f t="shared" si="0"/>
        <v>0</v>
      </c>
    </row>
    <row r="25" spans="2:24" s="27" customFormat="1" ht="20.100000000000001" customHeight="1" thickBot="1" x14ac:dyDescent="0.35">
      <c r="B25" s="232" t="s">
        <v>88</v>
      </c>
      <c r="C25" s="233"/>
      <c r="E25" s="48"/>
      <c r="G25" s="71" t="s">
        <v>88</v>
      </c>
      <c r="H25" s="47" t="s">
        <v>8</v>
      </c>
      <c r="I25" s="119">
        <f>IF(AND(B25='Visible Top Track'!S10,OR(D14&lt;&gt;0,D15&lt;&gt;0,D16&lt;&gt;0)),150,0)</f>
        <v>0</v>
      </c>
      <c r="J25" s="3">
        <f>IF(B25='Visible Top Track'!S10,(D14*2+J19+J20+J22)*2,0)</f>
        <v>0</v>
      </c>
      <c r="K25" s="27">
        <v>0.23499999999999996</v>
      </c>
      <c r="L25" s="44">
        <f t="shared" si="0"/>
        <v>0</v>
      </c>
    </row>
    <row r="26" spans="2:24" s="27" customFormat="1" ht="20.100000000000001" customHeight="1" x14ac:dyDescent="0.3">
      <c r="E26" s="48"/>
      <c r="G26" s="71" t="s">
        <v>88</v>
      </c>
      <c r="H26" s="47" t="s">
        <v>8</v>
      </c>
      <c r="I26" s="117">
        <f>IF(AND(B25='Visible Top Track'!S10,OR(D14&lt;&gt;0,D15&lt;&gt;0,D16&lt;&gt;0),J8&lt;1000),J8-45-300-80,0)</f>
        <v>0</v>
      </c>
      <c r="J26" s="3">
        <f>IF(AND(J8&lt;1000,B25='Visible Top Track'!S10),(D15+D14+D16)*D10,0)</f>
        <v>0</v>
      </c>
      <c r="K26" s="27">
        <v>0.23499999999999996</v>
      </c>
      <c r="L26" s="44">
        <f t="shared" si="0"/>
        <v>0</v>
      </c>
    </row>
    <row r="27" spans="2:24" s="27" customFormat="1" ht="20.100000000000001" customHeight="1" x14ac:dyDescent="0.3">
      <c r="B27" s="219" t="s">
        <v>48</v>
      </c>
      <c r="C27" s="219"/>
      <c r="D27" s="219"/>
      <c r="E27" s="34"/>
      <c r="G27" s="71" t="s">
        <v>88</v>
      </c>
      <c r="H27" s="47" t="s">
        <v>8</v>
      </c>
      <c r="I27" s="117">
        <f>IF(AND(B25='Visible Top Track'!S10,OR(D14&lt;&gt;0,D15&lt;&gt;0,D16&lt;&gt;0),J8&gt;=1000),(J8-45-300-120)/2,0)</f>
        <v>0</v>
      </c>
      <c r="J27" s="3">
        <f>IF(AND(J8&gt;=1000,B25='Visible Top Track'!S10),(D15+D14+D16)*D10*2,0)</f>
        <v>0</v>
      </c>
      <c r="K27" s="27">
        <v>0.23499999999999996</v>
      </c>
      <c r="L27" s="44">
        <f t="shared" si="0"/>
        <v>0</v>
      </c>
    </row>
    <row r="28" spans="2:24" s="27" customFormat="1" ht="20.100000000000001" customHeight="1" x14ac:dyDescent="0.3">
      <c r="G28" s="49" t="s">
        <v>100</v>
      </c>
      <c r="H28" s="47" t="s">
        <v>14</v>
      </c>
      <c r="I28" s="119">
        <f>IF(OR(AND(C38='Visible Top Track'!S16,D38&lt;&gt;0),C34='Visible Top Track'!S16),J12-2-75,0)</f>
        <v>820</v>
      </c>
      <c r="J28" s="17">
        <f>IF(OR(AND(C34='Visible Top Track'!S16,D38=0),AND(C38='Visible Top Track'!S16,D38&lt;&gt;0,C34='Visible Top Track'!S16,D34&lt;&gt;0)),2,IF(OR(C34='Visible Top Track'!S16,AND(C38='Visible Top Track'!S16,D38&lt;&gt;0)),1,0))*D10</f>
        <v>4</v>
      </c>
      <c r="K28" s="27">
        <v>0.60799999999999998</v>
      </c>
      <c r="L28" s="44">
        <f t="shared" si="0"/>
        <v>1.99424</v>
      </c>
    </row>
    <row r="29" spans="2:24" s="27" customFormat="1" ht="20.100000000000001" customHeight="1" thickBot="1" x14ac:dyDescent="0.35">
      <c r="G29" s="49" t="s">
        <v>90</v>
      </c>
      <c r="H29" s="47" t="s">
        <v>13</v>
      </c>
      <c r="I29" s="119">
        <f>IF(OR(AND(C34='Visible Top Track'!S16,D34&lt;&gt;0),AND(C35='Visible Top Track'!S16,D35&lt;&gt;0),AND(C36='Visible Top Track'!S16,D36&lt;&gt;0),AND(C37='Visible Top Track'!S16,D37&lt;&gt;0),AND(C38='Visible Top Track'!S16,D38&lt;&gt;0)),J12-2-75,0)</f>
        <v>820</v>
      </c>
      <c r="J29" s="17">
        <f>IF(I29&lt;&gt;0,(IF(AND(D38&lt;&gt;0,C34='Visible Top Track'!S16),1,0)+IF(AND(C34='Visible Top Track'!S16,D34&gt;=1000,D34&lt;1500),1,0)+IF(AND(C34='Visible Top Track'!S16,D34&gt;=1500,D34&lt;2000),2,0)+IF(AND(C34='Visible Top Track'!S16,D34&gt;=2000),3,0)+IF(AND(D35&lt;&gt;0,C35='Visible Top Track'!S16),2,0)+IF(AND(C35='Visible Top Track'!S16,D35&gt;=1000,D35&lt;1500),1,0)+IF(AND(C35='Visible Top Track'!S16,D35&gt;=1500,D35&lt;2000),2,0)+IF(AND(C35='Visible Top Track'!S16,D35&gt;=2000),3,0)+IF(AND(D36&lt;&gt;0,C36='Visible Top Track'!S16),2,0)+IF(AND(C36='Visible Top Track'!S16,D36&gt;=1000,D36&lt;1500),1,0)+IF(AND(C36='Visible Top Track'!S16,D36&gt;=1500,D36&lt;2000),2,0)+IF(AND(C36='Visible Top Track'!S16,D36&gt;=2000),3,0)+IF(AND(D37&lt;&gt;0,C37='Visible Top Track'!S16),2,0)+IF(AND(C37='Visible Top Track'!S16,D37&gt;=1000,D37&lt;1500),1,0)+IF(AND(C37='Visible Top Track'!S16,D37&gt;=1500,D37&lt;2000),2,0)+IF(AND(C37='Visible Top Track'!S16,D37&gt;=2000),3,0)+IF(AND(D38&lt;&gt;0,C38='Visible Top Track'!S16),1,0)+IF(AND(C38='Visible Top Track'!S16,D38&gt;=1000,D38&lt;1500),1,0)+IF(AND(C38='Visible Top Track'!S16,D38&gt;=1500,D38&lt;2000),2,0)+IF(AND(C38='Visible Top Track'!S16,D38&gt;=2000),3,0))*D10,0)</f>
        <v>6</v>
      </c>
      <c r="K29" s="27">
        <v>0.30499999999999999</v>
      </c>
      <c r="L29" s="44">
        <f t="shared" si="0"/>
        <v>1.5005999999999999</v>
      </c>
    </row>
    <row r="30" spans="2:24" s="27" customFormat="1" ht="20.100000000000001" customHeight="1" thickBot="1" x14ac:dyDescent="0.35">
      <c r="B30" s="91" t="s">
        <v>49</v>
      </c>
      <c r="C30" s="51">
        <f>SUM(D14:D16)+1</f>
        <v>1</v>
      </c>
      <c r="D30" s="197" t="str">
        <f>IF(C30&gt;5,'Visible Top Track'!S37,'Visible Top Track'!S38)</f>
        <v xml:space="preserve"> </v>
      </c>
      <c r="E30" s="198"/>
      <c r="G30" s="49" t="s">
        <v>91</v>
      </c>
      <c r="H30" s="47" t="s">
        <v>13</v>
      </c>
      <c r="I30" s="119">
        <f>IF(C34='Visible Top Track'!S16,D34,0)</f>
        <v>2561</v>
      </c>
      <c r="J30" s="17">
        <f>IF(I30&lt;&gt;0,IF(C34='Visible Top Track'!S16,2,0)*D10,0)</f>
        <v>4</v>
      </c>
      <c r="K30" s="27">
        <v>0.30499999999999999</v>
      </c>
      <c r="L30" s="44">
        <f t="shared" si="0"/>
        <v>3.1244200000000002</v>
      </c>
    </row>
    <row r="31" spans="2:24" s="27" customFormat="1" ht="20.100000000000001" customHeight="1" x14ac:dyDescent="0.3">
      <c r="B31" s="50"/>
      <c r="C31" s="40"/>
      <c r="D31" s="52"/>
      <c r="E31" s="34"/>
      <c r="G31" s="49" t="s">
        <v>92</v>
      </c>
      <c r="H31" s="47" t="s">
        <v>13</v>
      </c>
      <c r="I31" s="119">
        <f>IF(C35='Visible Top Track'!S16,D35,0)</f>
        <v>0</v>
      </c>
      <c r="J31" s="17">
        <f>IF(I31&lt;&gt;0,IF(C35='Visible Top Track'!S16,2,0)*D10,0)</f>
        <v>0</v>
      </c>
      <c r="K31" s="27">
        <v>0.30499999999999999</v>
      </c>
      <c r="L31" s="44">
        <f t="shared" si="0"/>
        <v>0</v>
      </c>
    </row>
    <row r="32" spans="2:24" s="27" customFormat="1" ht="20.100000000000001" customHeight="1" thickBot="1" x14ac:dyDescent="0.35">
      <c r="G32" s="49" t="s">
        <v>93</v>
      </c>
      <c r="H32" s="47" t="s">
        <v>13</v>
      </c>
      <c r="I32" s="119">
        <f>IF(C36='Visible Top Track'!S16,D36,0)</f>
        <v>0</v>
      </c>
      <c r="J32" s="17">
        <f>IF(I32&lt;&gt;0,IF(C36='Visible Top Track'!S16,2,0)*D10,0)</f>
        <v>0</v>
      </c>
      <c r="K32" s="27">
        <v>0.30499999999999999</v>
      </c>
      <c r="L32" s="44">
        <f t="shared" si="0"/>
        <v>0</v>
      </c>
    </row>
    <row r="33" spans="2:24" s="27" customFormat="1" ht="20.100000000000001" customHeight="1" x14ac:dyDescent="0.3">
      <c r="B33" s="93" t="s">
        <v>55</v>
      </c>
      <c r="C33" s="94" t="s">
        <v>56</v>
      </c>
      <c r="D33" s="94" t="s">
        <v>44</v>
      </c>
      <c r="E33" s="95" t="s">
        <v>45</v>
      </c>
      <c r="F33" s="53">
        <f>IF(D34&lt;&gt;0,1,0)</f>
        <v>1</v>
      </c>
      <c r="G33" s="49" t="s">
        <v>94</v>
      </c>
      <c r="H33" s="47" t="s">
        <v>13</v>
      </c>
      <c r="I33" s="119">
        <f>IF(C37='Visible Top Track'!S16,D37,0)</f>
        <v>0</v>
      </c>
      <c r="J33" s="17">
        <f>IF(I33&lt;&gt;0,IF(C37='Visible Top Track'!S16,2,0)*D10,0)</f>
        <v>0</v>
      </c>
      <c r="K33" s="27">
        <v>0.30499999999999999</v>
      </c>
      <c r="L33" s="44">
        <f t="shared" si="0"/>
        <v>0</v>
      </c>
      <c r="X33" s="90" t="s">
        <v>119</v>
      </c>
    </row>
    <row r="34" spans="2:24" s="27" customFormat="1" ht="20.100000000000001" customHeight="1" thickBot="1" x14ac:dyDescent="0.35">
      <c r="B34" s="87" t="s">
        <v>50</v>
      </c>
      <c r="C34" s="16" t="s">
        <v>113</v>
      </c>
      <c r="D34" s="97">
        <f>J11-SUM(D35:D38)</f>
        <v>2561</v>
      </c>
      <c r="E34" s="98">
        <f>IF(C34='Visible Top Track'!S16,$J$12-2,$J$12)</f>
        <v>895</v>
      </c>
      <c r="F34" s="53">
        <f>IF(D35&lt;&gt;0,1,0)</f>
        <v>0</v>
      </c>
      <c r="G34" s="49" t="s">
        <v>95</v>
      </c>
      <c r="H34" s="47" t="s">
        <v>13</v>
      </c>
      <c r="I34" s="119">
        <f>IF(C38='Visible Top Track'!S16,D38,0)</f>
        <v>0</v>
      </c>
      <c r="J34" s="17">
        <f>IF(I34&lt;&gt;0,IF(C38='Visible Top Track'!S16,2,0)*D10,0)</f>
        <v>0</v>
      </c>
      <c r="K34" s="27">
        <v>0.30499999999999999</v>
      </c>
      <c r="L34" s="44">
        <f t="shared" si="0"/>
        <v>0</v>
      </c>
      <c r="X34" s="90" t="s">
        <v>120</v>
      </c>
    </row>
    <row r="35" spans="2:24" s="27" customFormat="1" ht="20.100000000000001" customHeight="1" thickBot="1" x14ac:dyDescent="0.3">
      <c r="B35" s="87" t="s">
        <v>51</v>
      </c>
      <c r="C35" s="16" t="s">
        <v>125</v>
      </c>
      <c r="D35" s="110">
        <v>0</v>
      </c>
      <c r="E35" s="98">
        <f>IF(C35='Visible Top Track'!S16,$J$12-2,$J$12)</f>
        <v>897</v>
      </c>
      <c r="F35" s="53">
        <f>IF(D36&lt;&gt;0,1,0)</f>
        <v>0</v>
      </c>
      <c r="G35" s="54"/>
      <c r="H35" s="55"/>
      <c r="I35" s="56"/>
      <c r="J35" s="57"/>
      <c r="L35" s="58">
        <f>SUM(L15:L34)/D10</f>
        <v>8.0503870000000006</v>
      </c>
    </row>
    <row r="36" spans="2:24" s="27" customFormat="1" ht="20.100000000000001" customHeight="1" x14ac:dyDescent="0.25">
      <c r="B36" s="87" t="s">
        <v>52</v>
      </c>
      <c r="C36" s="16" t="s">
        <v>125</v>
      </c>
      <c r="D36" s="110">
        <v>0</v>
      </c>
      <c r="E36" s="98">
        <f>IF(C36='Visible Top Track'!S16,$J$12-2,$J$12)</f>
        <v>897</v>
      </c>
      <c r="F36" s="53">
        <f>IF(D37&lt;&gt;0,1,0)</f>
        <v>0</v>
      </c>
      <c r="G36" s="106" t="s">
        <v>62</v>
      </c>
      <c r="H36" s="104" t="s">
        <v>60</v>
      </c>
      <c r="I36" s="187" t="s">
        <v>57</v>
      </c>
      <c r="J36" s="188"/>
    </row>
    <row r="37" spans="2:24" s="27" customFormat="1" ht="20.100000000000001" customHeight="1" x14ac:dyDescent="0.25">
      <c r="B37" s="87" t="s">
        <v>53</v>
      </c>
      <c r="C37" s="16" t="s">
        <v>125</v>
      </c>
      <c r="D37" s="110">
        <v>0</v>
      </c>
      <c r="E37" s="98">
        <f>IF(C37='Visible Top Track'!S16,$J$12-2,$J$12)</f>
        <v>897</v>
      </c>
      <c r="F37" s="53">
        <f>IF(D38&lt;&gt;0,1,0)</f>
        <v>0</v>
      </c>
      <c r="G37" s="24" t="s">
        <v>96</v>
      </c>
      <c r="H37" s="45" t="s">
        <v>10</v>
      </c>
      <c r="I37" s="240">
        <f>IF(J8&gt;=1000,D10*1.5,D10)</f>
        <v>2</v>
      </c>
      <c r="J37" s="241"/>
      <c r="L37" s="27">
        <f>IF(C34=$X$15,D34*E34/1000000*13,IF(C34=$X$16,D34*E34/1000000*11))</f>
        <v>25.213045000000001</v>
      </c>
      <c r="X37" s="27" t="s">
        <v>121</v>
      </c>
    </row>
    <row r="38" spans="2:24" s="27" customFormat="1" ht="20.100000000000001" customHeight="1" thickBot="1" x14ac:dyDescent="0.3">
      <c r="B38" s="92" t="s">
        <v>54</v>
      </c>
      <c r="C38" s="18" t="s">
        <v>125</v>
      </c>
      <c r="D38" s="111">
        <v>0</v>
      </c>
      <c r="E38" s="99">
        <f>IF(C38='Visible Top Track'!S16,$J$12-2,$J$12)</f>
        <v>897</v>
      </c>
      <c r="G38" s="24" t="s">
        <v>101</v>
      </c>
      <c r="H38" s="45" t="s">
        <v>27</v>
      </c>
      <c r="I38" s="189">
        <f>ROUNDUP(IF(D9=X45,2+D12,IF(OR(D9=X46,D9=X47,D9=X48),4+D12,6+D12))/2,0)</f>
        <v>1</v>
      </c>
      <c r="J38" s="191"/>
      <c r="L38" s="27">
        <f>IF(C35=$X$15,D35*E35/1000000*13,IF(C35=$X$16,D35*E35/1000000*11))</f>
        <v>0</v>
      </c>
      <c r="X38" s="27" t="s">
        <v>0</v>
      </c>
    </row>
    <row r="39" spans="2:24" s="27" customFormat="1" ht="20.100000000000001" customHeight="1" x14ac:dyDescent="0.25">
      <c r="G39" s="24" t="s">
        <v>102</v>
      </c>
      <c r="H39" s="45" t="s">
        <v>28</v>
      </c>
      <c r="I39" s="189">
        <f>ROUNDUP(IF(OR(D9=X45,D9=X46),2+D13,4+D13)/2,0)</f>
        <v>1</v>
      </c>
      <c r="J39" s="191"/>
      <c r="L39" s="27">
        <f>IF(C36=$X$15,D36*E36/1000000*13,IF(C36=$X$16,D36*E36/1000000*11))</f>
        <v>0</v>
      </c>
      <c r="X39" s="27" t="s">
        <v>122</v>
      </c>
    </row>
    <row r="40" spans="2:24" s="27" customFormat="1" ht="20.100000000000001" customHeight="1" x14ac:dyDescent="0.25">
      <c r="C40" s="26" t="str">
        <f>IF((SUM(F33:F37)/C30)&lt;&gt;1,'Visible Top Track'!S33,'Visible Top Track'!S34)</f>
        <v>Correct insert heights</v>
      </c>
      <c r="D40" s="34">
        <f>IF(C40='Visible Top Track'!S34,1,0)</f>
        <v>1</v>
      </c>
      <c r="G40" s="24" t="s">
        <v>97</v>
      </c>
      <c r="H40" s="45" t="s">
        <v>11</v>
      </c>
      <c r="I40" s="242">
        <f>D17*D10</f>
        <v>0</v>
      </c>
      <c r="J40" s="243"/>
      <c r="L40" s="27">
        <f>IF(C37=$X$15,D37*E37/1000000*13,IF(C37=$X$16,D37*E37/1000000*11))</f>
        <v>0</v>
      </c>
      <c r="X40" s="27" t="s">
        <v>0</v>
      </c>
    </row>
    <row r="41" spans="2:24" s="27" customFormat="1" ht="20.100000000000001" customHeight="1" thickBot="1" x14ac:dyDescent="0.35">
      <c r="G41" s="24" t="s">
        <v>129</v>
      </c>
      <c r="H41" s="25" t="s">
        <v>23</v>
      </c>
      <c r="I41" s="205">
        <f>IF(L45&lt;30,ROUNDUP(SUM(D12:E13)/2,0),0)</f>
        <v>0</v>
      </c>
      <c r="J41" s="206"/>
      <c r="L41" s="27">
        <f>IF(C38=$X$15,D38*E38/1000000*13,IF(C38=$X$16,D38*E38/1000000*11))</f>
        <v>0</v>
      </c>
      <c r="X41" s="28"/>
    </row>
    <row r="42" spans="2:24" s="27" customFormat="1" ht="20.100000000000001" customHeight="1" thickBot="1" x14ac:dyDescent="0.35">
      <c r="C42" s="196" t="str">
        <f>IF(OR(AND(C34='Visible Top Track'!S16,D34&lt;130,D34&lt;&gt;0),AND(C35='Visible Top Track'!S16,D35&lt;130,D35&lt;&gt;0),AND(C36='Visible Top Track'!S16,D36&lt;130,D36&lt;&gt;0),AND(C37='Visible Top Track'!S16,D37&lt;130,D37&lt;&gt;0),AND(C38='Visible Top Track'!S16,D38&lt;130,D38&lt;&gt;0)),'Visible Top Track'!S39,'Visible Top Track'!S40)</f>
        <v xml:space="preserve"> </v>
      </c>
      <c r="D42" s="196"/>
      <c r="G42" s="24" t="s">
        <v>129</v>
      </c>
      <c r="H42" s="25" t="s">
        <v>24</v>
      </c>
      <c r="I42" s="205">
        <f>IF(AND(L45&gt;=30,L45&lt;50),ROUNDUP(SUM(D12:E13)/2,0),0)</f>
        <v>0</v>
      </c>
      <c r="J42" s="206"/>
      <c r="K42" s="28"/>
      <c r="L42" s="59">
        <f>SUM(L37:L41)</f>
        <v>25.213045000000001</v>
      </c>
      <c r="X42" s="28"/>
    </row>
    <row r="43" spans="2:24" s="27" customFormat="1" ht="20.100000000000001" customHeight="1" x14ac:dyDescent="0.3">
      <c r="G43" s="24" t="s">
        <v>129</v>
      </c>
      <c r="H43" s="25" t="s">
        <v>25</v>
      </c>
      <c r="I43" s="205">
        <f>IF(AND(L45&gt;=50,L45&lt;70),ROUNDUP(SUM(D12:E13)/2,0),0)</f>
        <v>0</v>
      </c>
      <c r="J43" s="206"/>
      <c r="K43" s="28"/>
      <c r="L43" s="28"/>
      <c r="X43" s="28"/>
    </row>
    <row r="44" spans="2:24" s="27" customFormat="1" ht="20.100000000000001" customHeight="1" thickBot="1" x14ac:dyDescent="0.35">
      <c r="C44" s="228" t="str">
        <f>IF(AND(SUM(F33:F37)/C30=1,D38=0,C30&lt;&gt;1),'Visible Top Track'!S52,'Visible Top Track'!S53)</f>
        <v xml:space="preserve"> </v>
      </c>
      <c r="D44" s="228"/>
      <c r="E44" s="60"/>
      <c r="G44" s="24" t="s">
        <v>98</v>
      </c>
      <c r="H44" s="61" t="s">
        <v>12</v>
      </c>
      <c r="I44" s="244">
        <f>D10*2-D12-D13</f>
        <v>4</v>
      </c>
      <c r="J44" s="245"/>
      <c r="K44" s="28"/>
      <c r="L44" s="28"/>
      <c r="X44" s="28"/>
    </row>
    <row r="45" spans="2:24" s="27" customFormat="1" ht="20.100000000000001" customHeight="1" thickBot="1" x14ac:dyDescent="0.35">
      <c r="E45" s="60"/>
      <c r="G45" s="87" t="s">
        <v>99</v>
      </c>
      <c r="H45" s="22" t="s">
        <v>22</v>
      </c>
      <c r="I45" s="246">
        <f>CEILING(J17*J7/1000,1)</f>
        <v>11</v>
      </c>
      <c r="J45" s="247"/>
      <c r="K45" s="28"/>
      <c r="L45" s="62">
        <f>(L35+L42)*1.05</f>
        <v>34.9266036</v>
      </c>
      <c r="X45" s="63" t="s">
        <v>16</v>
      </c>
    </row>
    <row r="46" spans="2:24" s="27" customFormat="1" ht="20.100000000000001" customHeight="1" x14ac:dyDescent="0.25">
      <c r="E46" s="60"/>
      <c r="G46" s="122" t="s">
        <v>108</v>
      </c>
      <c r="H46" s="22" t="s">
        <v>22</v>
      </c>
      <c r="I46" s="176">
        <f>IF(D21=X57,CEILING(I17*J17/1000,1),0)</f>
        <v>11</v>
      </c>
      <c r="J46" s="177"/>
      <c r="X46" s="63" t="s">
        <v>17</v>
      </c>
    </row>
    <row r="47" spans="2:24" s="27" customFormat="1" ht="20.100000000000001" customHeight="1" x14ac:dyDescent="0.25">
      <c r="C47" s="231"/>
      <c r="D47" s="64"/>
      <c r="E47" s="60"/>
      <c r="G47" s="122" t="s">
        <v>107</v>
      </c>
      <c r="H47" s="47" t="s">
        <v>26</v>
      </c>
      <c r="I47" s="176">
        <f>IF(D21=X58,CEILING(I17*J17/1000,1),0)</f>
        <v>0</v>
      </c>
      <c r="J47" s="186"/>
      <c r="X47" s="63" t="s">
        <v>18</v>
      </c>
    </row>
    <row r="48" spans="2:24" s="27" customFormat="1" ht="20.100000000000001" customHeight="1" x14ac:dyDescent="0.25">
      <c r="C48" s="231"/>
      <c r="D48" s="64"/>
      <c r="F48" s="65"/>
      <c r="G48" s="24" t="s">
        <v>41</v>
      </c>
      <c r="H48" s="47" t="s">
        <v>123</v>
      </c>
      <c r="I48" s="246">
        <f>CEILING(I16*2/1000,1)</f>
        <v>4</v>
      </c>
      <c r="J48" s="247"/>
      <c r="X48" s="63" t="s">
        <v>19</v>
      </c>
    </row>
    <row r="49" spans="2:24" ht="20.100000000000001" customHeight="1" x14ac:dyDescent="0.3">
      <c r="B49" s="27"/>
      <c r="C49" s="27"/>
      <c r="D49" s="27"/>
      <c r="E49" s="27"/>
      <c r="F49" s="66"/>
      <c r="G49" s="67" t="s">
        <v>106</v>
      </c>
      <c r="H49" s="43" t="s">
        <v>9</v>
      </c>
      <c r="I49" s="242">
        <f>IF(B25='Visible Top Track'!S11,ROUND((D17+E18)*D10*4+(J8/300+1)*((D16+D15+D14)*2),1),0)</f>
        <v>0</v>
      </c>
      <c r="J49" s="243"/>
      <c r="X49" s="63" t="s">
        <v>20</v>
      </c>
    </row>
    <row r="50" spans="2:24" ht="20.100000000000001" customHeight="1" x14ac:dyDescent="0.3">
      <c r="B50" s="27"/>
      <c r="C50" s="60"/>
      <c r="D50" s="64"/>
      <c r="E50" s="27"/>
      <c r="F50" s="66"/>
      <c r="G50" s="67" t="s">
        <v>105</v>
      </c>
      <c r="H50" s="43" t="s">
        <v>15</v>
      </c>
      <c r="I50" s="248">
        <f>J28*4+J29*2</f>
        <v>28</v>
      </c>
      <c r="J50" s="249"/>
    </row>
    <row r="51" spans="2:24" ht="20.100000000000001" customHeight="1" x14ac:dyDescent="0.3">
      <c r="B51" s="27"/>
      <c r="C51" s="60"/>
      <c r="D51" s="64"/>
      <c r="E51" s="27"/>
      <c r="F51" s="66"/>
      <c r="G51" s="68" t="s">
        <v>104</v>
      </c>
      <c r="H51" s="47" t="s">
        <v>21</v>
      </c>
      <c r="I51" s="224">
        <f>CEILING(SUM(I31*J31,I32*J32,I33*J33,I34*J34,I35*J35)/1000,1)</f>
        <v>0</v>
      </c>
      <c r="J51" s="225"/>
      <c r="X51" s="69"/>
    </row>
    <row r="52" spans="2:24" ht="20.100000000000001" customHeight="1" x14ac:dyDescent="0.3">
      <c r="B52" s="27"/>
      <c r="C52" s="60"/>
      <c r="D52" s="64"/>
      <c r="E52" s="27"/>
      <c r="F52" s="27"/>
      <c r="G52" s="24" t="s">
        <v>47</v>
      </c>
      <c r="H52" s="25" t="s">
        <v>29</v>
      </c>
      <c r="I52" s="172">
        <f>IF(D22=X20,D11,0)</f>
        <v>0</v>
      </c>
      <c r="J52" s="185"/>
      <c r="X52" s="28" t="s">
        <v>118</v>
      </c>
    </row>
    <row r="53" spans="2:24" ht="20.100000000000001" customHeight="1" x14ac:dyDescent="0.3">
      <c r="B53" s="156" t="s">
        <v>58</v>
      </c>
      <c r="C53" s="60"/>
      <c r="D53" s="64"/>
      <c r="E53" s="27"/>
      <c r="F53" s="27"/>
      <c r="G53" s="24" t="s">
        <v>109</v>
      </c>
      <c r="H53" s="45"/>
      <c r="I53" s="242">
        <f>I18*J18/250*1.1</f>
        <v>15.681600000000001</v>
      </c>
      <c r="J53" s="243"/>
      <c r="X53" s="28" t="s">
        <v>0</v>
      </c>
    </row>
    <row r="54" spans="2:24" ht="21" customHeight="1" x14ac:dyDescent="0.3">
      <c r="B54" s="156"/>
      <c r="C54" s="60"/>
      <c r="D54" s="64"/>
      <c r="F54" s="27"/>
      <c r="G54" s="49" t="s">
        <v>111</v>
      </c>
      <c r="H54" s="45"/>
      <c r="I54" s="242">
        <f>(IF(C34='Visible Top Track'!S15,(D34/250)*2*D10+IF(D38&lt;&gt;0,(E34/250)*D10,0)+I38*8+(D34/300)*2*J21,0)+IF(AND(C35='Visible Top Track'!S15,D35&lt;&gt;0),(D35/250)*2*D10+(E35/250)*D10*2+(D35/300)*2*J21,0)+IF(AND(C36='Visible Top Track'!S15,D36&lt;&gt;0),(D36/250)*2*D10+(E36/250)*D10*2+(D36/300)*2*J21,0)+IF(AND(C37='Visible Top Track'!S15,D37&lt;&gt;0),(D37/250)*2*D10+(E37/250)*D10*2+(D37/300)*2*J21,0)+IF(AND(C38='Visible Top Track'!S15,D38&lt;&gt;0),(D38/250)*2*D10+(E38/250)*D10*2+(D38/300)*2*J21+I37*8,0)+I19*J19/250+I20*J20/250)*1.1</f>
        <v>0</v>
      </c>
      <c r="J54" s="243"/>
    </row>
    <row r="55" spans="2:24" ht="20.100000000000001" customHeight="1" x14ac:dyDescent="0.3">
      <c r="B55" s="156"/>
      <c r="C55" s="64"/>
      <c r="D55" s="64"/>
      <c r="E55" s="27"/>
      <c r="F55" s="27"/>
      <c r="G55" s="24" t="s">
        <v>110</v>
      </c>
      <c r="H55" s="45"/>
      <c r="I55" s="242">
        <f>J24*2*1.1</f>
        <v>0</v>
      </c>
      <c r="J55" s="243"/>
    </row>
    <row r="56" spans="2:24" ht="21.75" customHeight="1" thickBot="1" x14ac:dyDescent="0.35">
      <c r="C56" s="27"/>
      <c r="D56" s="27"/>
      <c r="E56" s="27"/>
      <c r="G56" s="29" t="s">
        <v>112</v>
      </c>
      <c r="H56" s="70"/>
      <c r="I56" s="238">
        <f>((J23*2+I22*J22/250+D17*2*D10)+IF(C34='Visible Top Track'!S16,(D34/250)*2*D10+IF(D38&lt;&gt;0,(E34/250)*D10*4,0)+I38*8+I39*8+(D34/300)*2*J21,0)+IF(AND(C35='Visible Top Track'!S16,D35&lt;&gt;0),(D35/250)*2*D10+(E35/250)*D10*4+(D35/300)*2*J21,0)+IF(AND(C36='Visible Top Track'!S16,D36&lt;&gt;0),(D36/250)*2*D10+(E36/250)*D10*4+(D36/300)*2*J21,0)+IF(AND(C37='Visible Top Track'!S16,D37&lt;&gt;0),(D37/250)*2*D10+(E37/250)*D10*4+(D37/300)*2*J21,0)+IF(AND(C38='Visible Top Track'!S16,D38&lt;&gt;0),(D38/250)*2*D10+(E38/250)*D10*4+(D38/300)*2*J21+I37*8,0))*1.1</f>
        <v>137.79626666666667</v>
      </c>
      <c r="J56" s="239"/>
      <c r="X56" s="28" t="s">
        <v>115</v>
      </c>
    </row>
    <row r="57" spans="2:24" ht="18" customHeight="1" thickBot="1" x14ac:dyDescent="0.35">
      <c r="X57" s="28" t="s">
        <v>116</v>
      </c>
    </row>
    <row r="58" spans="2:24" ht="19.5" thickBot="1" x14ac:dyDescent="0.35">
      <c r="D58" s="107" t="s">
        <v>64</v>
      </c>
      <c r="E58" s="108">
        <f>ROUNDUP(L45,0)</f>
        <v>35</v>
      </c>
      <c r="G58" s="109" t="s">
        <v>65</v>
      </c>
      <c r="J58" s="86" t="s">
        <v>77</v>
      </c>
      <c r="X58" s="28" t="s">
        <v>117</v>
      </c>
    </row>
    <row r="82" spans="7:7" x14ac:dyDescent="0.3">
      <c r="G82" s="69"/>
    </row>
  </sheetData>
  <sheetProtection algorithmName="SHA-512" hashValue="2b4B/KHUUzZz+YRAV3zd+6liK0TTr1jETtEx5/egWnq89knqQkXqfHwyuzVLUdsnI5Aa4ESmLkNtVPDoSy54qw==" saltValue="0zWvNj8k57IOx5Sf0A+jeQ==" spinCount="100000" sheet="1" selectLockedCells="1"/>
  <mergeCells count="65">
    <mergeCell ref="B19:C19"/>
    <mergeCell ref="D19:E19"/>
    <mergeCell ref="I56:J56"/>
    <mergeCell ref="I36:J36"/>
    <mergeCell ref="I37:J37"/>
    <mergeCell ref="I49:J49"/>
    <mergeCell ref="I44:J44"/>
    <mergeCell ref="I45:J45"/>
    <mergeCell ref="I48:J48"/>
    <mergeCell ref="I40:J40"/>
    <mergeCell ref="I38:J38"/>
    <mergeCell ref="I54:J54"/>
    <mergeCell ref="I55:J55"/>
    <mergeCell ref="I51:J51"/>
    <mergeCell ref="I50:J50"/>
    <mergeCell ref="I53:J53"/>
    <mergeCell ref="I52:J52"/>
    <mergeCell ref="I47:J47"/>
    <mergeCell ref="B2:K2"/>
    <mergeCell ref="B3:K3"/>
    <mergeCell ref="B12:C12"/>
    <mergeCell ref="B14:C14"/>
    <mergeCell ref="D8:E8"/>
    <mergeCell ref="G7:H8"/>
    <mergeCell ref="D14:E14"/>
    <mergeCell ref="D11:E11"/>
    <mergeCell ref="D12:E12"/>
    <mergeCell ref="G11:H12"/>
    <mergeCell ref="D13:E13"/>
    <mergeCell ref="D7:E7"/>
    <mergeCell ref="B7:C7"/>
    <mergeCell ref="B9:C9"/>
    <mergeCell ref="D9:E9"/>
    <mergeCell ref="D10:E10"/>
    <mergeCell ref="B5:E5"/>
    <mergeCell ref="B10:C10"/>
    <mergeCell ref="B11:C11"/>
    <mergeCell ref="G5:J5"/>
    <mergeCell ref="B53:B55"/>
    <mergeCell ref="B15:C15"/>
    <mergeCell ref="B16:C16"/>
    <mergeCell ref="B17:C17"/>
    <mergeCell ref="B18:C18"/>
    <mergeCell ref="B24:C24"/>
    <mergeCell ref="B25:C25"/>
    <mergeCell ref="C44:D44"/>
    <mergeCell ref="C42:D42"/>
    <mergeCell ref="D30:E30"/>
    <mergeCell ref="B27:D27"/>
    <mergeCell ref="D17:E17"/>
    <mergeCell ref="D16:E16"/>
    <mergeCell ref="D15:E15"/>
    <mergeCell ref="B13:C13"/>
    <mergeCell ref="B20:C20"/>
    <mergeCell ref="D20:E20"/>
    <mergeCell ref="B22:C22"/>
    <mergeCell ref="D22:E22"/>
    <mergeCell ref="I39:J39"/>
    <mergeCell ref="C47:C48"/>
    <mergeCell ref="B21:C21"/>
    <mergeCell ref="D21:E21"/>
    <mergeCell ref="I41:J41"/>
    <mergeCell ref="I42:J42"/>
    <mergeCell ref="I43:J43"/>
    <mergeCell ref="I46:J46"/>
  </mergeCells>
  <conditionalFormatting sqref="D13:E13">
    <cfRule type="expression" dxfId="6" priority="1">
      <formula>OR(AND(OR(D9=X46,D9=X45),D13&gt;2),AND(OR(D9=X47,D9=X48,D9=X49),D13&gt;4))</formula>
    </cfRule>
  </conditionalFormatting>
  <conditionalFormatting sqref="D12:E12">
    <cfRule type="expression" dxfId="5" priority="15">
      <formula>OR(AND(D9=X45,D12&gt;2),AND(OR(D9=X46,D9=X47,D9=X48),D12&gt;4),AND(#REF!=X9,D12&gt;6))</formula>
    </cfRule>
  </conditionalFormatting>
  <dataValidations count="7">
    <dataValidation type="whole" operator="greaterThan" allowBlank="1" showInputMessage="1" showErrorMessage="1" sqref="E16 D14:D17">
      <formula1>-1</formula1>
    </dataValidation>
    <dataValidation type="whole" allowBlank="1" showInputMessage="1" showErrorMessage="1" sqref="D10:E10">
      <formula1>1</formula1>
      <formula2>5</formula2>
    </dataValidation>
    <dataValidation type="whole" allowBlank="1" showInputMessage="1" showErrorMessage="1" sqref="E18">
      <formula1>0</formula1>
      <formula2>2</formula2>
    </dataValidation>
    <dataValidation type="whole" allowBlank="1" showInputMessage="1" showErrorMessage="1" sqref="D11:E11">
      <formula1>1</formula1>
      <formula2>4</formula2>
    </dataValidation>
    <dataValidation type="list" allowBlank="1" showInputMessage="1" showErrorMessage="1" sqref="D22:E22 D19:E19">
      <formula1>$X$20:$X$21</formula1>
    </dataValidation>
    <dataValidation type="whole" allowBlank="1" showInputMessage="1" showErrorMessage="1" errorTitle="Неверное количество" error="Не более двух доводчиков на одну дверь." sqref="D13:E13">
      <formula1>-1</formula1>
      <formula2>IF(OR(D9=X46,D9=X45),2,4)</formula2>
    </dataValidation>
    <dataValidation type="whole" allowBlank="1" showInputMessage="1" showErrorMessage="1" errorTitle="Неверное количество" error="Не более двух доводчиков на одну дверь." sqref="D12:E12">
      <formula1>-1</formula1>
      <formula2>IF(D9=X45,2,IF(OR(D9=X46,D9=X47,D9=X48),4,6))</formula2>
    </dataValidation>
  </dataValidations>
  <hyperlinks>
    <hyperlink ref="J58" location="Contents!A1" display="Contents"/>
  </hyperlinks>
  <printOptions horizontalCentered="1"/>
  <pageMargins left="0.39370078740157483" right="0.39370078740157483" top="0.39370078740157483" bottom="0.39370078740157483" header="0" footer="0"/>
  <pageSetup paperSize="9" scale="7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BF7F5488-A634-4801-8645-66B6B780B6EA}">
            <xm:f>$C$40='Visible Top Track'!$S$33</xm:f>
            <x14:dxf>
              <fill>
                <patternFill>
                  <bgColor rgb="FFFF0000"/>
                </patternFill>
              </fill>
            </x14:dxf>
          </x14:cfRule>
          <x14:cfRule type="expression" priority="9" id="{4EBD83DA-EDE0-4B77-9764-6F2E02A68BB5}">
            <xm:f>$C$40='Visible Top Track'!$S$34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m:sqref>C40</xm:sqref>
        </x14:conditionalFormatting>
        <x14:conditionalFormatting xmlns:xm="http://schemas.microsoft.com/office/excel/2006/main">
          <x14:cfRule type="expression" priority="6" id="{96CAF0FF-8281-41D7-A8E3-0F0987AF34EB}">
            <xm:f>$D$30='Visible Top Track'!$S$37</xm:f>
            <x14:dxf>
              <fill>
                <patternFill>
                  <bgColor rgb="FFFF0000"/>
                </patternFill>
              </fill>
            </x14:dxf>
          </x14:cfRule>
          <xm:sqref>D31:E31 D30</xm:sqref>
        </x14:conditionalFormatting>
        <x14:conditionalFormatting xmlns:xm="http://schemas.microsoft.com/office/excel/2006/main">
          <x14:cfRule type="expression" priority="5" id="{F0A76FAD-8714-4A45-ACCF-34E78E5EF0E2}">
            <xm:f>$C$42='Visible Top Track'!$S$39</xm:f>
            <x14:dxf>
              <fill>
                <patternFill>
                  <bgColor rgb="FFFF0000"/>
                </patternFill>
              </fill>
            </x14:dxf>
          </x14:cfRule>
          <xm:sqref>C42</xm:sqref>
        </x14:conditionalFormatting>
        <x14:conditionalFormatting xmlns:xm="http://schemas.microsoft.com/office/excel/2006/main">
          <x14:cfRule type="iconSet" priority="7" id="{A95C81BD-99AE-4EBD-AB0E-D4CF59BF210B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D40</xm:sqref>
        </x14:conditionalFormatting>
        <x14:conditionalFormatting xmlns:xm="http://schemas.microsoft.com/office/excel/2006/main">
          <x14:cfRule type="expression" priority="3" id="{8C846B41-D67A-4624-AF67-A4676C46184D}">
            <xm:f>$C$44='Visible Top Track'!$S$52</xm:f>
            <x14:dxf>
              <fill>
                <patternFill>
                  <bgColor rgb="FFFF0000"/>
                </patternFill>
              </fill>
            </x14:dxf>
          </x14:cfRule>
          <xm:sqref>C44:D44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'Visible Top Track'!$S$10:$S$11</xm:f>
          </x14:formula1>
          <xm:sqref>B25</xm:sqref>
        </x14:dataValidation>
        <x14:dataValidation type="list" allowBlank="1" showInputMessage="1" showErrorMessage="1">
          <x14:formula1>
            <xm:f>'Visible Top Track'!$S$15:$S$16</xm:f>
          </x14:formula1>
          <xm:sqref>C34:C38</xm:sqref>
        </x14:dataValidation>
        <x14:dataValidation type="list" allowBlank="1" showInputMessage="1" showErrorMessage="1">
          <x14:formula1>
            <xm:f>'Visible Top Track'!$S$45:$S$49</xm:f>
          </x14:formula1>
          <xm:sqref>D9:E9</xm:sqref>
        </x14:dataValidation>
        <x14:dataValidation type="list" allowBlank="1" showInputMessage="1" showErrorMessage="1">
          <x14:formula1>
            <xm:f>'Visible Top Track'!$S$20:$S$21</xm:f>
          </x14:formula1>
          <xm:sqref>D20:E20</xm:sqref>
        </x14:dataValidation>
        <x14:dataValidation type="list" allowBlank="1" showInputMessage="1" showErrorMessage="1">
          <x14:formula1>
            <xm:f>'Visible Top Track'!$S$56:$S$58</xm:f>
          </x14:formula1>
          <xm:sqref>D21:E21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Contents</vt:lpstr>
      <vt:lpstr>Visible Top Track</vt:lpstr>
      <vt:lpstr>Hidden Top Track, Cabinet</vt:lpstr>
      <vt:lpstr>Hidden Top Track, Door Opening</vt:lpstr>
      <vt:lpstr>'Hidden Top Track, Cabinet'!Область_печати</vt:lpstr>
      <vt:lpstr>'Hidden Top Track, Door Opening'!Область_печати</vt:lpstr>
      <vt:lpstr>'Visible Top Track'!Область_печати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2020-11-06T11:27:46Z</dcterms:modified>
</cp:coreProperties>
</file>