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3040" windowHeight="7752" tabRatio="874"/>
  </bookViews>
  <sheets>
    <sheet name="Раздвижные двери" sheetId="8" r:id="rId1"/>
    <sheet name="Распашные двери" sheetId="7" r:id="rId2"/>
  </sheets>
  <definedNames>
    <definedName name="_xlnm.Print_Area" localSheetId="0">'Раздвижные двери'!$B$3:$K$36</definedName>
    <definedName name="_xlnm.Print_Area" localSheetId="1">'Распашные двери'!$B$3:$K$36</definedName>
  </definedNames>
  <calcPr calcId="162913"/>
</workbook>
</file>

<file path=xl/calcChain.xml><?xml version="1.0" encoding="utf-8"?>
<calcChain xmlns="http://schemas.openxmlformats.org/spreadsheetml/2006/main">
  <c r="K15" i="8" l="1"/>
  <c r="K14" i="8"/>
  <c r="J24" i="8" l="1"/>
  <c r="J23" i="8"/>
  <c r="J20" i="8"/>
  <c r="K12" i="8"/>
  <c r="K11" i="8"/>
  <c r="K10" i="8"/>
  <c r="J12" i="8"/>
  <c r="Q11" i="8"/>
  <c r="K6" i="8"/>
  <c r="P55" i="7"/>
  <c r="P56" i="7" s="1"/>
  <c r="I11" i="7"/>
  <c r="H11" i="7"/>
  <c r="D26" i="8" l="1"/>
  <c r="K6" i="7" l="1"/>
  <c r="D25" i="7" s="1"/>
  <c r="J13" i="8" l="1"/>
  <c r="I13" i="8"/>
  <c r="H13" i="8"/>
  <c r="J11" i="7"/>
  <c r="M16" i="7"/>
  <c r="M13" i="7" l="1"/>
  <c r="M15" i="7"/>
  <c r="M12" i="7"/>
  <c r="M14" i="7"/>
  <c r="G30" i="8" l="1"/>
  <c r="G29" i="8"/>
  <c r="G28" i="8"/>
  <c r="G27" i="8"/>
  <c r="F27" i="8"/>
  <c r="C22" i="8"/>
  <c r="J11" i="8"/>
  <c r="M11" i="8" s="1"/>
  <c r="E12" i="8"/>
  <c r="J10" i="8"/>
  <c r="M10" i="8" s="1"/>
  <c r="E11" i="8"/>
  <c r="J21" i="7"/>
  <c r="F30" i="8" l="1"/>
  <c r="K16" i="8"/>
  <c r="J28" i="8" s="1"/>
  <c r="P56" i="8"/>
  <c r="P55" i="8"/>
  <c r="K7" i="8" s="1"/>
  <c r="G26" i="8"/>
  <c r="C32" i="8" s="1"/>
  <c r="D32" i="8" s="1"/>
  <c r="K17" i="8"/>
  <c r="F29" i="8"/>
  <c r="F26" i="8"/>
  <c r="F28" i="8"/>
  <c r="E26" i="8" l="1"/>
  <c r="E29" i="8"/>
  <c r="M34" i="8" s="1"/>
  <c r="E30" i="8"/>
  <c r="E27" i="8"/>
  <c r="M32" i="8" s="1"/>
  <c r="E28" i="8"/>
  <c r="J25" i="8"/>
  <c r="J14" i="8"/>
  <c r="M33" i="8"/>
  <c r="M35" i="8"/>
  <c r="J21" i="8"/>
  <c r="C34" i="8"/>
  <c r="M14" i="8"/>
  <c r="K13" i="8"/>
  <c r="M12" i="8" s="1"/>
  <c r="M13" i="8" l="1"/>
  <c r="J26" i="8"/>
  <c r="J27" i="8" s="1"/>
  <c r="J17" i="8"/>
  <c r="M17" i="8" s="1"/>
  <c r="J15" i="8"/>
  <c r="M15" i="8" s="1"/>
  <c r="J16" i="8"/>
  <c r="M16" i="8" s="1"/>
  <c r="M31" i="8"/>
  <c r="M36" i="8" s="1"/>
  <c r="J22" i="8"/>
  <c r="M18" i="8" l="1"/>
  <c r="E10" i="7" l="1"/>
  <c r="G29" i="7"/>
  <c r="G28" i="7"/>
  <c r="G27" i="7"/>
  <c r="G26" i="7"/>
  <c r="F26" i="7"/>
  <c r="C21" i="7"/>
  <c r="J10" i="7"/>
  <c r="M10" i="7" s="1"/>
  <c r="F29" i="7"/>
  <c r="J24" i="7" l="1"/>
  <c r="J18" i="7"/>
  <c r="K7" i="7"/>
  <c r="K14" i="7"/>
  <c r="J26" i="7" s="1"/>
  <c r="J25" i="7"/>
  <c r="G25" i="7"/>
  <c r="C31" i="7" s="1"/>
  <c r="D31" i="7" s="1"/>
  <c r="K13" i="7"/>
  <c r="K15" i="7"/>
  <c r="F28" i="7"/>
  <c r="K12" i="7"/>
  <c r="F25" i="7"/>
  <c r="F27" i="7"/>
  <c r="J12" i="7" l="1"/>
  <c r="E26" i="7"/>
  <c r="E25" i="7"/>
  <c r="E27" i="7"/>
  <c r="M33" i="7" s="1"/>
  <c r="E28" i="7"/>
  <c r="E29" i="7"/>
  <c r="C33" i="7"/>
  <c r="M34" i="7"/>
  <c r="M32" i="7"/>
  <c r="M35" i="7"/>
  <c r="J19" i="7"/>
  <c r="M17" i="7"/>
  <c r="K11" i="7"/>
  <c r="M11" i="7" s="1"/>
  <c r="J22" i="7" l="1"/>
  <c r="J23" i="7" s="1"/>
  <c r="J15" i="7"/>
  <c r="M20" i="7" s="1"/>
  <c r="J13" i="7"/>
  <c r="M18" i="7" s="1"/>
  <c r="J14" i="7"/>
  <c r="M19" i="7" s="1"/>
  <c r="M31" i="7"/>
  <c r="M36" i="7" s="1"/>
  <c r="J20" i="7"/>
  <c r="M21" i="7" l="1"/>
  <c r="M38" i="7" s="1"/>
  <c r="S38" i="7" s="1"/>
  <c r="M38" i="8" l="1"/>
  <c r="T38" i="8" s="1"/>
</calcChain>
</file>

<file path=xl/sharedStrings.xml><?xml version="1.0" encoding="utf-8"?>
<sst xmlns="http://schemas.openxmlformats.org/spreadsheetml/2006/main" count="220" uniqueCount="114">
  <si>
    <t>Высота проёма</t>
  </si>
  <si>
    <t>Количество дверей</t>
  </si>
  <si>
    <t>Профили:</t>
  </si>
  <si>
    <t>размер</t>
  </si>
  <si>
    <t>количество</t>
  </si>
  <si>
    <t>высота</t>
  </si>
  <si>
    <t>ширина</t>
  </si>
  <si>
    <t>Размеры двери:</t>
  </si>
  <si>
    <t>Фурнитура:</t>
  </si>
  <si>
    <t>РЕЗУЛЬТАТ РАСЧЁТА</t>
  </si>
  <si>
    <t>ВВОД ИСХОДНЫХ ДАННЫХ ДЛЯ РАСЧЁТА</t>
  </si>
  <si>
    <t>Для расчёта размеров и количества комплектующих введите данные в таблицу</t>
  </si>
  <si>
    <t xml:space="preserve"> </t>
  </si>
  <si>
    <t>Ширина проёма, перекрываемого дверями</t>
  </si>
  <si>
    <t>Количество средних рамок для одной двери</t>
  </si>
  <si>
    <t>I-----____I</t>
  </si>
  <si>
    <t>I-----____-----I</t>
  </si>
  <si>
    <t>I-----____-----____I</t>
  </si>
  <si>
    <t>I-----____  ____-----I</t>
  </si>
  <si>
    <t>I-----____-----____-----I</t>
  </si>
  <si>
    <t>артикул</t>
  </si>
  <si>
    <t>Рсположение дверей</t>
  </si>
  <si>
    <t>Наполнение</t>
  </si>
  <si>
    <t>Материал</t>
  </si>
  <si>
    <t>Высота</t>
  </si>
  <si>
    <t>Ширина</t>
  </si>
  <si>
    <t>Вставка 1 (считается автоматически)</t>
  </si>
  <si>
    <t>Вставка 2</t>
  </si>
  <si>
    <t>Вставка 3</t>
  </si>
  <si>
    <t>Вставка 4</t>
  </si>
  <si>
    <t>Вставка 5 (низ двери)</t>
  </si>
  <si>
    <t>ЛДСП, 10 мм</t>
  </si>
  <si>
    <t>ЛДСП, 8 мм</t>
  </si>
  <si>
    <t>Стекло, зеркало 4 мм</t>
  </si>
  <si>
    <t xml:space="preserve">Направляющая верхняя </t>
  </si>
  <si>
    <t xml:space="preserve">Направляющая нижняя </t>
  </si>
  <si>
    <t xml:space="preserve">Комплект колес </t>
  </si>
  <si>
    <t>Неверно внесены высоты вставок</t>
  </si>
  <si>
    <t>Верно внесены высоты вставок</t>
  </si>
  <si>
    <t>Укажите высоту Вставки 5 (низ двери)</t>
  </si>
  <si>
    <t>П-8мм</t>
  </si>
  <si>
    <t>R-04</t>
  </si>
  <si>
    <t>Уплотнитель П-образный 8 мм</t>
  </si>
  <si>
    <t>Уплотнитель резиновый 4 мм</t>
  </si>
  <si>
    <t>да</t>
  </si>
  <si>
    <t>нет</t>
  </si>
  <si>
    <t>верхний</t>
  </si>
  <si>
    <t>нижний</t>
  </si>
  <si>
    <t>Элемент, скрывающий отверстия</t>
  </si>
  <si>
    <t>Заглушка дверная</t>
  </si>
  <si>
    <t>Шлегель</t>
  </si>
  <si>
    <t>Прищепка для шлегеля 9*5мм</t>
  </si>
  <si>
    <t xml:space="preserve">АМ04 </t>
  </si>
  <si>
    <t>X01</t>
  </si>
  <si>
    <t>AB-53</t>
  </si>
  <si>
    <t>MT/ST 9*5-6P6L</t>
  </si>
  <si>
    <t>Нельзя использовать вставку 8 мм</t>
  </si>
  <si>
    <t>Количество вставок одной двери:</t>
  </si>
  <si>
    <t>Кол-во</t>
  </si>
  <si>
    <t>Вес двери</t>
  </si>
  <si>
    <t>Вес одной двери:</t>
  </si>
  <si>
    <t>Стопор</t>
  </si>
  <si>
    <t>Стопор верхний</t>
  </si>
  <si>
    <t>Стопор нижний</t>
  </si>
  <si>
    <t>Конфигурация профиля</t>
  </si>
  <si>
    <t>с саморезом</t>
  </si>
  <si>
    <t>без самореза</t>
  </si>
  <si>
    <t>Рамка верхняя</t>
  </si>
  <si>
    <t>Рамка нижняя</t>
  </si>
  <si>
    <t xml:space="preserve">Рамка средняя </t>
  </si>
  <si>
    <t>Рамка средняя без самореза</t>
  </si>
  <si>
    <t>CKRU0004</t>
  </si>
  <si>
    <t>CKRU0006</t>
  </si>
  <si>
    <t>CKRU0640</t>
  </si>
  <si>
    <t>CKRU0216А</t>
  </si>
  <si>
    <t>Количество перекрытий</t>
  </si>
  <si>
    <t>I-----  -----I</t>
  </si>
  <si>
    <t>I-----I</t>
  </si>
  <si>
    <t>Механизм распашной</t>
  </si>
  <si>
    <t>АВ-01</t>
  </si>
  <si>
    <t>АВ20 DZ</t>
  </si>
  <si>
    <t>202-1B DZ</t>
  </si>
  <si>
    <t>Направляющая для распашной двери</t>
  </si>
  <si>
    <t>CKRU0044</t>
  </si>
  <si>
    <t>Конфигурация магнитной защелки</t>
  </si>
  <si>
    <t>возвратная</t>
  </si>
  <si>
    <t>невозвратная</t>
  </si>
  <si>
    <t>Защелка магнитная невозвратная с подставкой</t>
  </si>
  <si>
    <t>Защелка магнитная возвратная с подставкой</t>
  </si>
  <si>
    <t>CKRU0471</t>
  </si>
  <si>
    <t>Направляющая нижняя врезная</t>
  </si>
  <si>
    <t>CKRU0655</t>
  </si>
  <si>
    <t>CKRU0648</t>
  </si>
  <si>
    <t>Вертикальный профиль I 26</t>
  </si>
  <si>
    <t>CKRU0653</t>
  </si>
  <si>
    <t>Вертикальный профиль Contour 26</t>
  </si>
  <si>
    <t>CKRU0654</t>
  </si>
  <si>
    <t>CKRU0646</t>
  </si>
  <si>
    <t>CKRU0643</t>
  </si>
  <si>
    <t>CKRU0491</t>
  </si>
  <si>
    <t>I 26</t>
  </si>
  <si>
    <t>Contour 26</t>
  </si>
  <si>
    <t>Type С-29</t>
  </si>
  <si>
    <t>RS01-26</t>
  </si>
  <si>
    <t>АВ-75М5х35</t>
  </si>
  <si>
    <t>Саморез сборочный 5х35 мм (для средних рамок с саморезом)</t>
  </si>
  <si>
    <t>Вариант установки дверей</t>
  </si>
  <si>
    <t>с верхней и нижней направляющей</t>
  </si>
  <si>
    <t>с верхней и врезной нижней направляющими</t>
  </si>
  <si>
    <t>с врезными нижними направляющими</t>
  </si>
  <si>
    <t>с нижними направляющими</t>
  </si>
  <si>
    <t>Вариант средней рамки</t>
  </si>
  <si>
    <t>Расчет раздвижных дверей системы Bravo</t>
  </si>
  <si>
    <t>Расчет распашных дверей системы Bravo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</si>
</sst>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&quot; мм&quot;"/>
    <numFmt numFmtId="165" formatCode="#,##0&quot; м&quot;"/>
    <numFmt numFmtId="166" formatCode="#,##0&quot; шт.&quot;"/>
    <numFmt numFmtId="167" formatCode="#,##0&quot; комп.&quot;"/>
    <numFmt numFmtId="168" formatCode="#,##0&quot; кг.&quot;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1">
    <xf numFmtId="0" fontId="0" fillId="0" borderId="0" xfId="0"/>
    <xf numFmtId="164" fontId="2" fillId="0" borderId="4" xfId="0" applyNumberFormat="1" applyFont="1" applyBorder="1" applyAlignment="1" applyProtection="1">
      <alignment horizontal="center" vertical="center"/>
    </xf>
    <xf numFmtId="164" fontId="2" fillId="0" borderId="6" xfId="0" applyNumberFormat="1" applyFont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vertical="center"/>
      <protection locked="0"/>
    </xf>
    <xf numFmtId="16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right" vertical="center"/>
    </xf>
    <xf numFmtId="166" fontId="12" fillId="0" borderId="0" xfId="0" applyNumberFormat="1" applyFont="1" applyFill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1" fillId="0" borderId="0" xfId="0" applyFont="1" applyFill="1" applyProtection="1"/>
    <xf numFmtId="0" fontId="0" fillId="0" borderId="0" xfId="0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1" fillId="2" borderId="18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3" borderId="18" xfId="0" applyFont="1" applyFill="1" applyBorder="1" applyAlignment="1" applyProtection="1">
      <alignment vertical="center"/>
    </xf>
    <xf numFmtId="164" fontId="1" fillId="0" borderId="2" xfId="0" applyNumberFormat="1" applyFont="1" applyBorder="1" applyAlignment="1" applyProtection="1">
      <alignment horizontal="center" vertical="center"/>
    </xf>
    <xf numFmtId="166" fontId="1" fillId="0" borderId="9" xfId="0" applyNumberFormat="1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1" fillId="0" borderId="8" xfId="0" applyFont="1" applyBorder="1" applyProtection="1"/>
    <xf numFmtId="0" fontId="1" fillId="0" borderId="1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vertical="center"/>
    </xf>
    <xf numFmtId="164" fontId="1" fillId="0" borderId="15" xfId="0" applyNumberFormat="1" applyFont="1" applyBorder="1" applyAlignment="1" applyProtection="1">
      <alignment horizontal="center" vertical="center"/>
    </xf>
    <xf numFmtId="166" fontId="1" fillId="0" borderId="6" xfId="0" applyNumberFormat="1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left" vertical="center"/>
    </xf>
    <xf numFmtId="0" fontId="8" fillId="0" borderId="5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168" fontId="1" fillId="0" borderId="18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Protection="1"/>
    <xf numFmtId="0" fontId="7" fillId="2" borderId="3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4" fontId="1" fillId="0" borderId="0" xfId="0" applyNumberFormat="1" applyFont="1" applyAlignment="1" applyProtection="1">
      <alignment vertical="center"/>
    </xf>
    <xf numFmtId="167" fontId="1" fillId="0" borderId="0" xfId="0" applyNumberFormat="1" applyFont="1" applyAlignment="1" applyProtection="1">
      <alignment vertical="center"/>
    </xf>
    <xf numFmtId="0" fontId="1" fillId="0" borderId="0" xfId="0" applyFont="1" applyBorder="1" applyProtection="1"/>
    <xf numFmtId="0" fontId="7" fillId="0" borderId="1" xfId="0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 applyProtection="1">
      <alignment vertical="center" wrapText="1"/>
    </xf>
    <xf numFmtId="0" fontId="4" fillId="0" borderId="0" xfId="0" applyFont="1" applyProtection="1"/>
    <xf numFmtId="0" fontId="1" fillId="0" borderId="8" xfId="0" applyFont="1" applyBorder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/>
    </xf>
    <xf numFmtId="0" fontId="6" fillId="0" borderId="0" xfId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164" fontId="2" fillId="3" borderId="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1" fillId="0" borderId="8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164" fontId="2" fillId="3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0" borderId="8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164" fontId="10" fillId="3" borderId="2" xfId="0" applyNumberFormat="1" applyFont="1" applyFill="1" applyBorder="1" applyAlignment="1" applyProtection="1">
      <alignment horizontal="center" vertical="center"/>
      <protection locked="0"/>
    </xf>
    <xf numFmtId="164" fontId="10" fillId="3" borderId="20" xfId="0" applyNumberFormat="1" applyFont="1" applyFill="1" applyBorder="1" applyAlignment="1" applyProtection="1">
      <alignment horizontal="center" vertical="center"/>
      <protection locked="0"/>
    </xf>
    <xf numFmtId="164" fontId="10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 vertical="center"/>
    </xf>
    <xf numFmtId="0" fontId="1" fillId="0" borderId="22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166" fontId="2" fillId="0" borderId="5" xfId="0" applyNumberFormat="1" applyFont="1" applyBorder="1" applyAlignment="1" applyProtection="1">
      <alignment horizontal="center" vertical="center" wrapText="1"/>
    </xf>
    <xf numFmtId="166" fontId="10" fillId="0" borderId="6" xfId="0" applyNumberFormat="1" applyFont="1" applyBorder="1" applyAlignment="1" applyProtection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 vertical="center" wrapText="1"/>
    </xf>
    <xf numFmtId="166" fontId="2" fillId="0" borderId="9" xfId="0" applyNumberFormat="1" applyFont="1" applyBorder="1" applyAlignment="1" applyProtection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/>
    </xf>
    <xf numFmtId="166" fontId="2" fillId="0" borderId="9" xfId="0" applyNumberFormat="1" applyFont="1" applyBorder="1" applyAlignment="1" applyProtection="1">
      <alignment horizontal="center"/>
    </xf>
    <xf numFmtId="165" fontId="2" fillId="0" borderId="1" xfId="0" applyNumberFormat="1" applyFont="1" applyBorder="1" applyAlignment="1" applyProtection="1">
      <alignment horizontal="center" vertical="center" wrapText="1"/>
    </xf>
    <xf numFmtId="165" fontId="2" fillId="0" borderId="9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 vertical="center"/>
    </xf>
    <xf numFmtId="165" fontId="2" fillId="0" borderId="9" xfId="0" applyNumberFormat="1" applyFont="1" applyBorder="1" applyAlignment="1" applyProtection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</xf>
    <xf numFmtId="167" fontId="2" fillId="0" borderId="1" xfId="0" applyNumberFormat="1" applyFont="1" applyBorder="1" applyAlignment="1" applyProtection="1">
      <alignment horizontal="center" vertical="center" wrapText="1"/>
    </xf>
    <xf numFmtId="167" fontId="2" fillId="0" borderId="9" xfId="0" applyNumberFormat="1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0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166" fontId="2" fillId="0" borderId="1" xfId="0" applyNumberFormat="1" applyFont="1" applyBorder="1" applyAlignment="1" applyProtection="1">
      <alignment horizontal="center" vertical="center"/>
    </xf>
    <xf numFmtId="166" fontId="2" fillId="0" borderId="9" xfId="0" applyNumberFormat="1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9" xfId="0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6"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666748</xdr:colOff>
      <xdr:row>30</xdr:row>
      <xdr:rowOff>190503</xdr:rowOff>
    </xdr:from>
    <xdr:to>
      <xdr:col>1</xdr:col>
      <xdr:colOff>2095500</xdr:colOff>
      <xdr:row>43</xdr:row>
      <xdr:rowOff>21773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3" y="8963028"/>
          <a:ext cx="1428752" cy="2989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666748</xdr:colOff>
      <xdr:row>29</xdr:row>
      <xdr:rowOff>190503</xdr:rowOff>
    </xdr:from>
    <xdr:to>
      <xdr:col>1</xdr:col>
      <xdr:colOff>2095500</xdr:colOff>
      <xdr:row>42</xdr:row>
      <xdr:rowOff>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3" y="8963028"/>
          <a:ext cx="1428752" cy="2989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B1:V70"/>
  <sheetViews>
    <sheetView tabSelected="1" zoomScale="70" zoomScaleNormal="70" workbookViewId="0">
      <selection activeCell="D8" sqref="D8:F8"/>
    </sheetView>
  </sheetViews>
  <sheetFormatPr defaultColWidth="9.109375" defaultRowHeight="18" x14ac:dyDescent="0.35"/>
  <cols>
    <col min="1" max="1" width="3" style="20" customWidth="1"/>
    <col min="2" max="2" width="43.44140625" style="20" customWidth="1"/>
    <col min="3" max="3" width="41.6640625" style="20" customWidth="1"/>
    <col min="4" max="6" width="14.6640625" style="74" customWidth="1"/>
    <col min="7" max="7" width="2.6640625" style="20" customWidth="1"/>
    <col min="8" max="8" width="80.33203125" style="20" customWidth="1"/>
    <col min="9" max="9" width="17.109375" style="20" customWidth="1"/>
    <col min="10" max="10" width="16.6640625" style="20" customWidth="1"/>
    <col min="11" max="11" width="13.44140625" style="20" customWidth="1"/>
    <col min="12" max="12" width="15.109375" style="20" hidden="1" customWidth="1"/>
    <col min="13" max="13" width="13.33203125" style="20" hidden="1" customWidth="1"/>
    <col min="14" max="14" width="9.109375" style="20" hidden="1" customWidth="1"/>
    <col min="15" max="15" width="37.88671875" style="20" hidden="1" customWidth="1"/>
    <col min="16" max="22" width="9.109375" style="20" hidden="1" customWidth="1"/>
    <col min="23" max="16384" width="9.109375" style="20"/>
  </cols>
  <sheetData>
    <row r="1" spans="2:18" x14ac:dyDescent="0.35">
      <c r="B1" s="19"/>
      <c r="C1" s="19"/>
    </row>
    <row r="2" spans="2:18" s="21" customFormat="1" ht="27.6" customHeight="1" x14ac:dyDescent="0.3">
      <c r="B2" s="85" t="s">
        <v>112</v>
      </c>
      <c r="C2" s="85"/>
      <c r="D2" s="85"/>
      <c r="E2" s="85"/>
      <c r="F2" s="85"/>
      <c r="G2" s="85"/>
      <c r="H2" s="85"/>
      <c r="I2" s="85"/>
      <c r="J2" s="85"/>
      <c r="K2" s="85"/>
    </row>
    <row r="3" spans="2:18" s="22" customFormat="1" ht="20.100000000000001" customHeight="1" x14ac:dyDescent="0.35">
      <c r="B3" s="23"/>
      <c r="C3" s="23"/>
      <c r="D3" s="23"/>
      <c r="E3" s="23"/>
      <c r="F3" s="23"/>
      <c r="H3" s="24"/>
      <c r="I3" s="24"/>
      <c r="J3" s="24"/>
      <c r="K3" s="24"/>
      <c r="O3" s="25" t="s">
        <v>15</v>
      </c>
    </row>
    <row r="4" spans="2:18" s="22" customFormat="1" ht="20.100000000000001" customHeight="1" x14ac:dyDescent="0.3">
      <c r="B4" s="86" t="s">
        <v>10</v>
      </c>
      <c r="C4" s="86"/>
      <c r="D4" s="86"/>
      <c r="E4" s="86"/>
      <c r="F4" s="73"/>
      <c r="H4" s="86" t="s">
        <v>9</v>
      </c>
      <c r="I4" s="86"/>
      <c r="J4" s="86"/>
      <c r="K4" s="86"/>
      <c r="O4" s="25" t="s">
        <v>16</v>
      </c>
    </row>
    <row r="5" spans="2:18" s="21" customFormat="1" ht="20.100000000000001" customHeight="1" thickBot="1" x14ac:dyDescent="0.35">
      <c r="B5" s="26"/>
      <c r="C5" s="26"/>
      <c r="D5" s="26"/>
      <c r="E5" s="26"/>
      <c r="F5" s="26"/>
      <c r="G5" s="22"/>
      <c r="H5" s="26"/>
      <c r="I5" s="26"/>
      <c r="J5" s="26"/>
      <c r="K5" s="26"/>
      <c r="O5" s="25" t="s">
        <v>17</v>
      </c>
      <c r="Q5" s="21" t="s">
        <v>107</v>
      </c>
    </row>
    <row r="6" spans="2:18" s="21" customFormat="1" ht="20.100000000000001" customHeight="1" x14ac:dyDescent="0.3">
      <c r="B6" s="87" t="s">
        <v>0</v>
      </c>
      <c r="C6" s="88"/>
      <c r="D6" s="88"/>
      <c r="E6" s="89">
        <v>2400</v>
      </c>
      <c r="F6" s="90"/>
      <c r="H6" s="91" t="s">
        <v>7</v>
      </c>
      <c r="I6" s="92"/>
      <c r="J6" s="27" t="s">
        <v>5</v>
      </c>
      <c r="K6" s="1">
        <f>IF(D8=Q5,E6-40,IF(D8=Q6,E6-34,IF(D8=Q7,E6-15,IF(D8=Q8,E6-24))))</f>
        <v>2360</v>
      </c>
      <c r="O6" s="25" t="s">
        <v>18</v>
      </c>
      <c r="Q6" s="21" t="s">
        <v>108</v>
      </c>
    </row>
    <row r="7" spans="2:18" s="21" customFormat="1" ht="20.100000000000001" customHeight="1" thickBot="1" x14ac:dyDescent="0.35">
      <c r="B7" s="95" t="s">
        <v>13</v>
      </c>
      <c r="C7" s="96"/>
      <c r="D7" s="96"/>
      <c r="E7" s="97">
        <v>1400</v>
      </c>
      <c r="F7" s="98"/>
      <c r="H7" s="93"/>
      <c r="I7" s="94"/>
      <c r="J7" s="28" t="s">
        <v>6</v>
      </c>
      <c r="K7" s="2">
        <f>IF(E10=O55,P55,IF(E10=O56,P56,0))</f>
        <v>707</v>
      </c>
      <c r="O7" s="25" t="s">
        <v>19</v>
      </c>
      <c r="Q7" s="21" t="s">
        <v>109</v>
      </c>
    </row>
    <row r="8" spans="2:18" s="21" customFormat="1" ht="20.100000000000001" customHeight="1" thickBot="1" x14ac:dyDescent="0.35">
      <c r="B8" s="112" t="s">
        <v>106</v>
      </c>
      <c r="C8" s="113"/>
      <c r="D8" s="109" t="s">
        <v>107</v>
      </c>
      <c r="E8" s="110"/>
      <c r="F8" s="111"/>
      <c r="H8" s="29"/>
      <c r="I8" s="29"/>
      <c r="J8" s="30"/>
      <c r="K8" s="3"/>
      <c r="Q8" s="21" t="s">
        <v>110</v>
      </c>
    </row>
    <row r="9" spans="2:18" s="21" customFormat="1" ht="20.100000000000001" customHeight="1" x14ac:dyDescent="0.3">
      <c r="B9" s="99" t="s">
        <v>21</v>
      </c>
      <c r="C9" s="100"/>
      <c r="D9" s="100"/>
      <c r="E9" s="97" t="s">
        <v>15</v>
      </c>
      <c r="F9" s="98"/>
      <c r="H9" s="31" t="s">
        <v>2</v>
      </c>
      <c r="I9" s="63" t="s">
        <v>20</v>
      </c>
      <c r="J9" s="27" t="s">
        <v>3</v>
      </c>
      <c r="K9" s="32" t="s">
        <v>4</v>
      </c>
      <c r="L9" s="61"/>
    </row>
    <row r="10" spans="2:18" s="21" customFormat="1" ht="20.100000000000001" customHeight="1" x14ac:dyDescent="0.35">
      <c r="B10" s="101" t="s">
        <v>64</v>
      </c>
      <c r="C10" s="102"/>
      <c r="D10" s="102"/>
      <c r="E10" s="103" t="s">
        <v>100</v>
      </c>
      <c r="F10" s="104"/>
      <c r="H10" s="70" t="s">
        <v>34</v>
      </c>
      <c r="I10" s="68" t="s">
        <v>91</v>
      </c>
      <c r="J10" s="69">
        <f>E7-2</f>
        <v>1398</v>
      </c>
      <c r="K10" s="71">
        <f>IF(OR(D8=Q5,D8=Q6),1,0)</f>
        <v>1</v>
      </c>
      <c r="L10" s="20">
        <v>0.53800000000000003</v>
      </c>
      <c r="M10" s="21">
        <f>L10*J10*K10/1000</f>
        <v>0.75212400000000001</v>
      </c>
    </row>
    <row r="11" spans="2:18" s="21" customFormat="1" ht="20.100000000000001" customHeight="1" x14ac:dyDescent="0.35">
      <c r="B11" s="99" t="s">
        <v>1</v>
      </c>
      <c r="C11" s="100"/>
      <c r="D11" s="100"/>
      <c r="E11" s="105">
        <f>IF(E9=O3,2,IF(E9=O4,3,IF(E9=O5,4,IF(E9=O6,4,IF(E9=O7,5)))))</f>
        <v>2</v>
      </c>
      <c r="F11" s="106"/>
      <c r="H11" s="70" t="s">
        <v>35</v>
      </c>
      <c r="I11" s="68" t="s">
        <v>92</v>
      </c>
      <c r="J11" s="69">
        <f>E7-2</f>
        <v>1398</v>
      </c>
      <c r="K11" s="71">
        <f>IF(D8=Q5,1,IF(D8=Q8,2,0))</f>
        <v>1</v>
      </c>
      <c r="L11" s="20">
        <v>0.26900000000000002</v>
      </c>
      <c r="M11" s="21">
        <f t="shared" ref="M11" si="0">L11*J11*K11/1000</f>
        <v>0.37606200000000001</v>
      </c>
      <c r="O11" s="13" t="s">
        <v>31</v>
      </c>
      <c r="Q11" s="21">
        <f>IF(D8=Q5,44,IF(D8=Q6,44,IF(D8=Q7,66,IF(D8=Q8,66))))</f>
        <v>44</v>
      </c>
      <c r="R11" s="21">
        <v>10.5</v>
      </c>
    </row>
    <row r="12" spans="2:18" s="21" customFormat="1" ht="20.100000000000001" customHeight="1" x14ac:dyDescent="0.35">
      <c r="B12" s="99" t="s">
        <v>75</v>
      </c>
      <c r="C12" s="100"/>
      <c r="D12" s="100"/>
      <c r="E12" s="105">
        <f>IF(E9=O3,1,IF(E9=O4,2,IF(E9=O5,3,IF(E9=O6,2,IF(E9=O7,4)))))</f>
        <v>1</v>
      </c>
      <c r="F12" s="106"/>
      <c r="H12" s="70" t="s">
        <v>90</v>
      </c>
      <c r="I12" s="68" t="s">
        <v>92</v>
      </c>
      <c r="J12" s="69">
        <f>J10</f>
        <v>1398</v>
      </c>
      <c r="K12" s="71">
        <f>IF(D8=Q6,1,IF(D8=Q7,2,0))</f>
        <v>0</v>
      </c>
      <c r="L12" s="20">
        <v>0.38500000000000001</v>
      </c>
      <c r="M12" s="79">
        <f>IF(H13=O69,L12*J13*K13/1000,0)</f>
        <v>3.6344000000000003</v>
      </c>
      <c r="O12" s="13" t="s">
        <v>32</v>
      </c>
      <c r="R12" s="21">
        <v>33</v>
      </c>
    </row>
    <row r="13" spans="2:18" s="21" customFormat="1" ht="20.100000000000001" customHeight="1" x14ac:dyDescent="0.35">
      <c r="B13" s="101" t="s">
        <v>111</v>
      </c>
      <c r="C13" s="102"/>
      <c r="D13" s="102"/>
      <c r="E13" s="103" t="s">
        <v>65</v>
      </c>
      <c r="F13" s="104"/>
      <c r="H13" s="72" t="str">
        <f>IF(E10=O55,O69,O70)</f>
        <v>Вертикальный профиль I 26</v>
      </c>
      <c r="I13" s="33" t="str">
        <f>IF(E10=O55,P69,P70)</f>
        <v>CKRU0653</v>
      </c>
      <c r="J13" s="4">
        <f>$K$6</f>
        <v>2360</v>
      </c>
      <c r="K13" s="5">
        <f>IF(J13&gt;0,$E$11*2,0)</f>
        <v>4</v>
      </c>
      <c r="L13" s="20">
        <v>0.47199999999999998</v>
      </c>
      <c r="M13" s="79">
        <f>IF(H13=O70,L12*J13*K13/1000,0)</f>
        <v>0</v>
      </c>
      <c r="O13" s="13" t="s">
        <v>33</v>
      </c>
    </row>
    <row r="14" spans="2:18" s="21" customFormat="1" ht="20.100000000000001" customHeight="1" x14ac:dyDescent="0.35">
      <c r="B14" s="133" t="s">
        <v>14</v>
      </c>
      <c r="C14" s="134"/>
      <c r="D14" s="134"/>
      <c r="E14" s="107">
        <v>0</v>
      </c>
      <c r="F14" s="108"/>
      <c r="H14" s="72" t="s">
        <v>67</v>
      </c>
      <c r="I14" s="33" t="s">
        <v>97</v>
      </c>
      <c r="J14" s="4">
        <f>K7-47</f>
        <v>660</v>
      </c>
      <c r="K14" s="5">
        <f>IF(OR(D8=Q5,D8=Q6),E11,0)</f>
        <v>2</v>
      </c>
      <c r="L14" s="20">
        <v>0.22800000000000001</v>
      </c>
      <c r="M14" s="21">
        <f>L14*J14*K14/1000</f>
        <v>0.30096000000000006</v>
      </c>
    </row>
    <row r="15" spans="2:18" s="21" customFormat="1" ht="20.100000000000001" customHeight="1" x14ac:dyDescent="0.35">
      <c r="B15" s="101" t="s">
        <v>61</v>
      </c>
      <c r="C15" s="102"/>
      <c r="D15" s="102"/>
      <c r="E15" s="103" t="s">
        <v>45</v>
      </c>
      <c r="F15" s="104"/>
      <c r="H15" s="72" t="s">
        <v>68</v>
      </c>
      <c r="I15" s="33" t="s">
        <v>98</v>
      </c>
      <c r="J15" s="4">
        <f>J14</f>
        <v>660</v>
      </c>
      <c r="K15" s="5">
        <f>IF(OR(D8=Q5,D8=Q6),E11,E11*2)</f>
        <v>2</v>
      </c>
      <c r="L15" s="20">
        <v>0.42299999999999999</v>
      </c>
      <c r="M15" s="21">
        <f>L15*J15*K15/1000</f>
        <v>0.55835999999999997</v>
      </c>
    </row>
    <row r="16" spans="2:18" s="21" customFormat="1" ht="20.100000000000001" customHeight="1" thickBot="1" x14ac:dyDescent="0.35">
      <c r="B16" s="129" t="s">
        <v>48</v>
      </c>
      <c r="C16" s="130"/>
      <c r="D16" s="130"/>
      <c r="E16" s="131" t="s">
        <v>50</v>
      </c>
      <c r="F16" s="132"/>
      <c r="H16" s="72" t="s">
        <v>69</v>
      </c>
      <c r="I16" s="33" t="s">
        <v>99</v>
      </c>
      <c r="J16" s="4">
        <f>J14</f>
        <v>660</v>
      </c>
      <c r="K16" s="5">
        <f>IF(E13=O63,E11*E14,0)</f>
        <v>0</v>
      </c>
      <c r="L16" s="21">
        <v>0.216</v>
      </c>
      <c r="M16" s="21">
        <f>L16*J16*K16/1000</f>
        <v>0</v>
      </c>
    </row>
    <row r="17" spans="2:15" s="21" customFormat="1" ht="20.100000000000001" customHeight="1" thickBot="1" x14ac:dyDescent="0.35">
      <c r="H17" s="34" t="s">
        <v>70</v>
      </c>
      <c r="I17" s="35" t="s">
        <v>89</v>
      </c>
      <c r="J17" s="6">
        <f>J14</f>
        <v>660</v>
      </c>
      <c r="K17" s="7">
        <f>IF(E13=O64,E11*E14,0)</f>
        <v>0</v>
      </c>
      <c r="L17" s="21">
        <v>0.13700000000000001</v>
      </c>
      <c r="M17" s="21">
        <f>L17*J17*K17/1000</f>
        <v>0</v>
      </c>
      <c r="O17" s="21" t="s">
        <v>37</v>
      </c>
    </row>
    <row r="18" spans="2:15" s="21" customFormat="1" ht="20.100000000000001" customHeight="1" thickBot="1" x14ac:dyDescent="0.35">
      <c r="M18" s="36">
        <f>SUM(M10:M17)/E11</f>
        <v>2.8109530000000005</v>
      </c>
      <c r="O18" s="21" t="s">
        <v>38</v>
      </c>
    </row>
    <row r="19" spans="2:15" s="21" customFormat="1" ht="20.100000000000001" customHeight="1" x14ac:dyDescent="0.3">
      <c r="H19" s="37" t="s">
        <v>8</v>
      </c>
      <c r="I19" s="63" t="s">
        <v>20</v>
      </c>
      <c r="J19" s="125" t="s">
        <v>4</v>
      </c>
      <c r="K19" s="126"/>
    </row>
    <row r="20" spans="2:15" s="21" customFormat="1" ht="20.100000000000001" customHeight="1" x14ac:dyDescent="0.3">
      <c r="B20" s="21" t="s">
        <v>11</v>
      </c>
      <c r="H20" s="72" t="s">
        <v>36</v>
      </c>
      <c r="I20" s="38" t="s">
        <v>102</v>
      </c>
      <c r="J20" s="127">
        <f>IF(OR(D8=Q5,D8=Q6),E11,E11*2)</f>
        <v>2</v>
      </c>
      <c r="K20" s="128"/>
    </row>
    <row r="21" spans="2:15" s="21" customFormat="1" ht="20.100000000000001" customHeight="1" thickBot="1" x14ac:dyDescent="0.4">
      <c r="H21" s="72" t="s">
        <v>42</v>
      </c>
      <c r="I21" s="18" t="s">
        <v>40</v>
      </c>
      <c r="J21" s="123">
        <f>ROUNDUP((IF(C26=O12,(D26+E26)*2*F26,0)
+IF(C27=O12,(D27+E27)*2*F27,0)
+IF(C28=O12,(D28+E28)*2*F28,0)
+IF(C29=O12,(D29+E29)*2*F29,0)
+IF(C30=O12,(D30+E30)*2*F30,0))/1000,0)</f>
        <v>0</v>
      </c>
      <c r="K21" s="124"/>
      <c r="O21" s="20" t="s">
        <v>39</v>
      </c>
    </row>
    <row r="22" spans="2:15" s="21" customFormat="1" ht="20.100000000000001" customHeight="1" thickBot="1" x14ac:dyDescent="0.4">
      <c r="B22" s="40" t="s">
        <v>57</v>
      </c>
      <c r="C22" s="41">
        <f>E14+1</f>
        <v>1</v>
      </c>
      <c r="D22" s="64"/>
      <c r="E22" s="39"/>
      <c r="F22" s="39"/>
      <c r="H22" s="72" t="s">
        <v>43</v>
      </c>
      <c r="I22" s="18" t="s">
        <v>41</v>
      </c>
      <c r="J22" s="123">
        <f>ROUNDUP((IF(C26=O13,(D26+E26)*2*F26,0)
+IF(C27=O13,(D27+E27)*2*F27,0)
+IF(C28=O13,(D28+E28)*2*F28,0)
+IF(C29=O13,(D29+E29)*2*F29,0)
+IF(C30=O13,(D30+E30)*2*F30,0))/1000,0)</f>
        <v>0</v>
      </c>
      <c r="K22" s="124"/>
      <c r="O22" s="20" t="s">
        <v>12</v>
      </c>
    </row>
    <row r="23" spans="2:15" s="21" customFormat="1" ht="20.100000000000001" customHeight="1" x14ac:dyDescent="0.3">
      <c r="H23" s="72" t="s">
        <v>63</v>
      </c>
      <c r="I23" s="38" t="s">
        <v>53</v>
      </c>
      <c r="J23" s="117">
        <f>IF(AND(E15=O42,OR(D8=Q5,D8=Q6)),E11,IF(AND(E15=O42,OR(D8=Q7,D8=Q8)),E11*2,0))</f>
        <v>0</v>
      </c>
      <c r="K23" s="118"/>
    </row>
    <row r="24" spans="2:15" s="21" customFormat="1" ht="20.100000000000001" customHeight="1" thickBot="1" x14ac:dyDescent="0.35">
      <c r="H24" s="83" t="s">
        <v>62</v>
      </c>
      <c r="I24" s="38" t="s">
        <v>103</v>
      </c>
      <c r="J24" s="117">
        <f>IF(AND(E15=O43,OR(D8=Q5,D8=Q6)),E11,0)</f>
        <v>0</v>
      </c>
      <c r="K24" s="118"/>
    </row>
    <row r="25" spans="2:15" s="21" customFormat="1" ht="20.100000000000001" customHeight="1" x14ac:dyDescent="0.35">
      <c r="B25" s="42" t="s">
        <v>22</v>
      </c>
      <c r="C25" s="43" t="s">
        <v>23</v>
      </c>
      <c r="D25" s="43" t="s">
        <v>24</v>
      </c>
      <c r="E25" s="44" t="s">
        <v>25</v>
      </c>
      <c r="F25" s="45" t="s">
        <v>58</v>
      </c>
      <c r="H25" s="51" t="s">
        <v>49</v>
      </c>
      <c r="I25" s="52" t="s">
        <v>54</v>
      </c>
      <c r="J25" s="119">
        <f>IF(E16=O46,K14*2+K15*2+K16*2+K17*2,0)</f>
        <v>0</v>
      </c>
      <c r="K25" s="120"/>
      <c r="O25" s="14">
        <v>0</v>
      </c>
    </row>
    <row r="26" spans="2:15" s="21" customFormat="1" ht="20.100000000000001" customHeight="1" x14ac:dyDescent="0.3">
      <c r="B26" s="83" t="s">
        <v>26</v>
      </c>
      <c r="C26" s="8" t="s">
        <v>31</v>
      </c>
      <c r="D26" s="9">
        <f>ROUNDDOWN(K6-IF(D30=0,0,IF(C30=O11,D30,IF(C30=O12,D30+2,D30+3)))-
IF(D29=0,0,IF(C29=O11,D29,IF(C29=O12,D29+2,D29+3)))-
IF(D28=0,0,IF(C28=O11,D28,IF(C28=O12,D28+2,D28+3)))-
IF(D27=0,0,IF(C27=O11,D27,IF(C27=O12,D27+2,D27+3)))-Q11-
IF(C26=O12,2,IF(C26=O13,3,0))-E14*IF(E13=O63,7,1),0)</f>
        <v>2316</v>
      </c>
      <c r="E26" s="48">
        <f>IF(C26=$O$11,$K$7-31,
IF(C26=$O$12,$K$7-31-2,
IF(C26=$O$13,$K$7-31-3,0)))</f>
        <v>676</v>
      </c>
      <c r="F26" s="49">
        <f>$E$11</f>
        <v>2</v>
      </c>
      <c r="G26" s="50">
        <f>IF(D26&lt;&gt;0,1,0)</f>
        <v>1</v>
      </c>
      <c r="H26" s="56" t="s">
        <v>50</v>
      </c>
      <c r="I26" s="15" t="s">
        <v>55</v>
      </c>
      <c r="J26" s="121">
        <f>IF(E16=O47,ROUNDUP(K13*K6/1000,0),0)</f>
        <v>10</v>
      </c>
      <c r="K26" s="122"/>
      <c r="O26" s="14">
        <v>1</v>
      </c>
    </row>
    <row r="27" spans="2:15" s="21" customFormat="1" ht="20.100000000000001" customHeight="1" x14ac:dyDescent="0.3">
      <c r="B27" s="83" t="s">
        <v>27</v>
      </c>
      <c r="C27" s="8" t="s">
        <v>33</v>
      </c>
      <c r="D27" s="10">
        <v>0</v>
      </c>
      <c r="E27" s="48">
        <f>IF(C27=$O$11,$K$7-31,
IF(C27=$O$12,$K$7-31-2,
IF(C27=$O$13,$K$7-31-3,0)))</f>
        <v>673</v>
      </c>
      <c r="F27" s="49">
        <f>IF(D27&lt;&gt;0,$E$11,0)</f>
        <v>0</v>
      </c>
      <c r="G27" s="50">
        <f>IF(D27&lt;&gt;0,1,0)</f>
        <v>0</v>
      </c>
      <c r="H27" s="72" t="s">
        <v>51</v>
      </c>
      <c r="I27" s="38" t="s">
        <v>52</v>
      </c>
      <c r="J27" s="117">
        <f>IF(J26&gt;0,K13*2,0)</f>
        <v>8</v>
      </c>
      <c r="K27" s="118"/>
      <c r="O27" s="14">
        <v>2</v>
      </c>
    </row>
    <row r="28" spans="2:15" s="21" customFormat="1" ht="20.100000000000001" customHeight="1" thickBot="1" x14ac:dyDescent="0.35">
      <c r="B28" s="83" t="s">
        <v>28</v>
      </c>
      <c r="C28" s="8" t="s">
        <v>33</v>
      </c>
      <c r="D28" s="10">
        <v>0</v>
      </c>
      <c r="E28" s="48">
        <f>IF(C28=$O$11,$K$7-31,
IF(C28=$O$12,$K$7-31-2,
IF(C28=$O$13,$K$7-31-3,0)))</f>
        <v>673</v>
      </c>
      <c r="F28" s="49">
        <f>IF(D28&lt;&gt;0,$E$11,0)</f>
        <v>0</v>
      </c>
      <c r="G28" s="50">
        <f>IF(D28&lt;&gt;0,1,0)</f>
        <v>0</v>
      </c>
      <c r="H28" s="34" t="s">
        <v>105</v>
      </c>
      <c r="I28" s="58" t="s">
        <v>104</v>
      </c>
      <c r="J28" s="115">
        <f>K16*2</f>
        <v>0</v>
      </c>
      <c r="K28" s="116"/>
      <c r="M28" s="65"/>
      <c r="O28" s="14">
        <v>3</v>
      </c>
    </row>
    <row r="29" spans="2:15" s="21" customFormat="1" ht="20.100000000000001" customHeight="1" x14ac:dyDescent="0.3">
      <c r="B29" s="83" t="s">
        <v>29</v>
      </c>
      <c r="C29" s="8" t="s">
        <v>33</v>
      </c>
      <c r="D29" s="10">
        <v>0</v>
      </c>
      <c r="E29" s="48">
        <f>IF(C29=$O$11,$K$7-31,
IF(C29=$O$12,$K$7-31-2,
IF(C29=$O$13,$K$7-31-3,0)))</f>
        <v>673</v>
      </c>
      <c r="F29" s="49">
        <f>IF(D29&lt;&gt;0,$E$11,0)</f>
        <v>0</v>
      </c>
      <c r="G29" s="50">
        <f>IF(D29&lt;&gt;0,1,0)</f>
        <v>0</v>
      </c>
      <c r="L29" s="66"/>
      <c r="O29" s="14">
        <v>4</v>
      </c>
    </row>
    <row r="30" spans="2:15" ht="20.100000000000001" customHeight="1" thickBot="1" x14ac:dyDescent="0.4">
      <c r="B30" s="53" t="s">
        <v>30</v>
      </c>
      <c r="C30" s="11" t="s">
        <v>33</v>
      </c>
      <c r="D30" s="12">
        <v>0</v>
      </c>
      <c r="E30" s="54">
        <f>IF(C30=$O$11,$K$7-31,
IF(C30=$O$12,$K$7-31-2,
IF(C30=$O$13,$K$7-31-3,0)))</f>
        <v>673</v>
      </c>
      <c r="F30" s="55">
        <f>IF(D30&lt;&gt;0,$E$11,0)</f>
        <v>0</v>
      </c>
      <c r="G30" s="50">
        <f>IF(D30&lt;&gt;0,1,0)</f>
        <v>0</v>
      </c>
      <c r="K30" s="84"/>
      <c r="L30" s="67"/>
    </row>
    <row r="31" spans="2:15" ht="20.100000000000001" customHeight="1" x14ac:dyDescent="0.35">
      <c r="B31" s="21"/>
      <c r="C31" s="21"/>
      <c r="D31" s="21"/>
      <c r="E31" s="21"/>
      <c r="F31" s="21"/>
      <c r="G31" s="21"/>
      <c r="M31" s="21">
        <f>IF(C26=$O$11,((D26*E26*F26/$E$11)/1000000)*8,IF(C26=$O$12,((D26*E26*F26/$E$11)/1000000)*6.5,((D26*E26*F26/$E$11)/1000000)*11))</f>
        <v>12.524927999999999</v>
      </c>
    </row>
    <row r="32" spans="2:15" ht="21" customHeight="1" x14ac:dyDescent="0.35">
      <c r="B32" s="21"/>
      <c r="C32" s="18" t="str">
        <f>IF((SUM(G26:G30)/C22)&lt;&gt;1,O17,O18)</f>
        <v>Верно внесены высоты вставок</v>
      </c>
      <c r="D32" s="74">
        <f>IF(C32=O18,1,0)</f>
        <v>1</v>
      </c>
      <c r="E32" s="21"/>
      <c r="F32" s="21"/>
      <c r="G32" s="21"/>
      <c r="M32" s="21">
        <f>IF(C27=$O$11,((D27*E27*F27/$E$11)/1000000)*8,IF(C27=$O$12,((D27*E27*F27/$E$11)/1000000)*6.5,((D27*E27*F27/$E$11)/1000000)*11))</f>
        <v>0</v>
      </c>
    </row>
    <row r="33" spans="2:20" ht="20.100000000000001" customHeight="1" x14ac:dyDescent="0.35">
      <c r="B33" s="21"/>
      <c r="C33" s="21"/>
      <c r="D33" s="21"/>
      <c r="E33" s="21"/>
      <c r="F33" s="21"/>
      <c r="G33" s="21"/>
      <c r="M33" s="21">
        <f>IF(C28=$O$11,((D28*E28*F28/$E$11)/1000000)*8,IF(C28=$O$12,((D28*E28*F28/$E$11)/1000000)*6.5,((D28*E28*F28/$E$11)/1000000)*11))</f>
        <v>0</v>
      </c>
      <c r="O33" s="13" t="s">
        <v>31</v>
      </c>
    </row>
    <row r="34" spans="2:20" ht="20.100000000000001" customHeight="1" x14ac:dyDescent="0.35">
      <c r="B34" s="21"/>
      <c r="C34" s="114" t="str">
        <f>IF(AND(SUM(G26:G30)/C22=1,D30=0,C22&lt;&gt;1),O21,O22)</f>
        <v xml:space="preserve"> </v>
      </c>
      <c r="D34" s="114"/>
      <c r="E34" s="21"/>
      <c r="F34" s="21"/>
      <c r="G34" s="21"/>
      <c r="M34" s="21">
        <f>IF(C29=$O$11,((D29*E29*F29/$E$11)/1000000)*8,IF(C29=$O$12,((D29*E29*F29/$E$11)/1000000)*6.5,((D29*E29*F29/$E$11)/1000000)*11))</f>
        <v>0</v>
      </c>
      <c r="O34" s="13" t="s">
        <v>33</v>
      </c>
    </row>
    <row r="35" spans="2:20" ht="20.100000000000001" customHeight="1" thickBot="1" x14ac:dyDescent="0.4">
      <c r="B35" s="21"/>
      <c r="C35" s="21"/>
      <c r="D35" s="21"/>
      <c r="G35" s="21"/>
      <c r="M35" s="21">
        <f>IF(C30=$O$11,((D30*E30*F30/$E$11)/1000000)*8,IF(C30=$O$12,((D30*E30*F30/$E$11)/1000000)*6.5,((D30*E30*F30/$E$11)/1000000)*11))</f>
        <v>0</v>
      </c>
    </row>
    <row r="36" spans="2:20" ht="20.100000000000001" customHeight="1" thickBot="1" x14ac:dyDescent="0.4">
      <c r="B36" s="21"/>
      <c r="G36" s="21"/>
      <c r="M36" s="36">
        <f>SUM(M31:M35)</f>
        <v>12.524927999999999</v>
      </c>
      <c r="O36" s="20" t="s">
        <v>44</v>
      </c>
    </row>
    <row r="37" spans="2:20" ht="18.600000000000001" thickBot="1" x14ac:dyDescent="0.4">
      <c r="B37" s="21"/>
      <c r="C37" s="21"/>
      <c r="D37" s="21"/>
      <c r="E37" s="20"/>
      <c r="F37" s="20"/>
      <c r="G37" s="21"/>
      <c r="M37" s="21"/>
      <c r="O37" s="21" t="s">
        <v>45</v>
      </c>
    </row>
    <row r="38" spans="2:20" ht="18.600000000000001" thickBot="1" x14ac:dyDescent="0.4">
      <c r="B38" s="21"/>
      <c r="E38" s="21"/>
      <c r="F38" s="21"/>
      <c r="G38" s="21"/>
      <c r="L38" s="46" t="s">
        <v>59</v>
      </c>
      <c r="M38" s="47">
        <f>(M36+M18)*1.05</f>
        <v>16.102675050000002</v>
      </c>
      <c r="R38" s="57"/>
      <c r="S38" s="59" t="s">
        <v>60</v>
      </c>
      <c r="T38" s="60">
        <f>ROUNDUP(M38,0)</f>
        <v>17</v>
      </c>
    </row>
    <row r="39" spans="2:20" x14ac:dyDescent="0.35">
      <c r="G39" s="21"/>
    </row>
    <row r="40" spans="2:20" x14ac:dyDescent="0.35">
      <c r="D40" s="20"/>
      <c r="E40" s="20"/>
      <c r="F40" s="20"/>
      <c r="G40" s="21"/>
    </row>
    <row r="41" spans="2:20" x14ac:dyDescent="0.35">
      <c r="G41" s="21"/>
      <c r="O41" s="20" t="s">
        <v>45</v>
      </c>
    </row>
    <row r="42" spans="2:20" x14ac:dyDescent="0.35">
      <c r="G42" s="21"/>
      <c r="O42" s="20" t="s">
        <v>47</v>
      </c>
    </row>
    <row r="43" spans="2:20" x14ac:dyDescent="0.35">
      <c r="G43" s="21"/>
      <c r="O43" s="20" t="s">
        <v>46</v>
      </c>
    </row>
    <row r="46" spans="2:20" x14ac:dyDescent="0.35">
      <c r="O46" s="16" t="s">
        <v>49</v>
      </c>
    </row>
    <row r="47" spans="2:20" x14ac:dyDescent="0.35">
      <c r="O47" s="17" t="s">
        <v>50</v>
      </c>
    </row>
    <row r="48" spans="2:20" x14ac:dyDescent="0.35">
      <c r="O48" s="16"/>
    </row>
    <row r="50" spans="15:16" x14ac:dyDescent="0.35">
      <c r="O50" s="20" t="s">
        <v>56</v>
      </c>
    </row>
    <row r="51" spans="15:16" x14ac:dyDescent="0.35">
      <c r="O51" s="20" t="s">
        <v>12</v>
      </c>
    </row>
    <row r="55" spans="15:16" x14ac:dyDescent="0.35">
      <c r="O55" s="20" t="s">
        <v>100</v>
      </c>
      <c r="P55" s="20">
        <f>ROUNDUP(IF(AND(OR(E16=O48,E16=O47),E9=O6),(E7-20+E12*24)/E11,
IF(AND(OR(E16=O48,E16=O47),E9&lt;&gt;O6),(E7-10+E12*24)/E11,(E7+E12*24)/E11)),0)</f>
        <v>707</v>
      </c>
    </row>
    <row r="56" spans="15:16" x14ac:dyDescent="0.35">
      <c r="O56" s="20" t="s">
        <v>101</v>
      </c>
      <c r="P56" s="20">
        <f>ROUNDUP(IF(AND(OR(E16=O48,E16=O47),E9=O6),(E7-20+E12*24)/E11,
IF(AND(OR(E16=O48,E16=O47),E9&lt;&gt;O6),(E7-10+E12*24)/E11,(E7+E12*24)/E11)),0)</f>
        <v>707</v>
      </c>
    </row>
    <row r="63" spans="15:16" x14ac:dyDescent="0.35">
      <c r="O63" s="20" t="s">
        <v>65</v>
      </c>
    </row>
    <row r="64" spans="15:16" x14ac:dyDescent="0.35">
      <c r="O64" s="20" t="s">
        <v>66</v>
      </c>
    </row>
    <row r="69" spans="15:16" x14ac:dyDescent="0.35">
      <c r="O69" s="78" t="s">
        <v>93</v>
      </c>
      <c r="P69" s="33" t="s">
        <v>94</v>
      </c>
    </row>
    <row r="70" spans="15:16" x14ac:dyDescent="0.35">
      <c r="O70" s="78" t="s">
        <v>95</v>
      </c>
      <c r="P70" s="33" t="s">
        <v>96</v>
      </c>
    </row>
  </sheetData>
  <sheetProtection algorithmName="SHA-512" hashValue="Q5fv1+np0Qj76VymGVeD1/g3zpkBSDPP67FhqOHjmZUrdhVxDciT3KjiOpzrLb3No8CdTJ7u+lM0RSWL6P0Lcg==" saltValue="+MJ0ZmKFGkkToTsUZwdQbA==" spinCount="100000" sheet="1" selectLockedCells="1"/>
  <mergeCells count="37">
    <mergeCell ref="D8:F8"/>
    <mergeCell ref="B8:C8"/>
    <mergeCell ref="C34:D34"/>
    <mergeCell ref="J28:K28"/>
    <mergeCell ref="J23:K23"/>
    <mergeCell ref="J25:K25"/>
    <mergeCell ref="J26:K26"/>
    <mergeCell ref="J27:K27"/>
    <mergeCell ref="J24:K24"/>
    <mergeCell ref="J21:K21"/>
    <mergeCell ref="J22:K22"/>
    <mergeCell ref="J19:K19"/>
    <mergeCell ref="J20:K20"/>
    <mergeCell ref="B16:D16"/>
    <mergeCell ref="E16:F16"/>
    <mergeCell ref="B14:D14"/>
    <mergeCell ref="E14:F14"/>
    <mergeCell ref="B15:D15"/>
    <mergeCell ref="E15:F15"/>
    <mergeCell ref="B12:D12"/>
    <mergeCell ref="E12:F12"/>
    <mergeCell ref="B13:D13"/>
    <mergeCell ref="E13:F13"/>
    <mergeCell ref="B9:D9"/>
    <mergeCell ref="E9:F9"/>
    <mergeCell ref="B10:D10"/>
    <mergeCell ref="E10:F10"/>
    <mergeCell ref="B11:D11"/>
    <mergeCell ref="E11:F11"/>
    <mergeCell ref="B2:K2"/>
    <mergeCell ref="B4:E4"/>
    <mergeCell ref="H4:K4"/>
    <mergeCell ref="B6:D6"/>
    <mergeCell ref="E6:F6"/>
    <mergeCell ref="H6:I7"/>
    <mergeCell ref="B7:D7"/>
    <mergeCell ref="E7:F7"/>
  </mergeCells>
  <conditionalFormatting sqref="C32">
    <cfRule type="expression" dxfId="5" priority="4">
      <formula>$C$32=$O$17</formula>
    </cfRule>
    <cfRule type="expression" dxfId="4" priority="5">
      <formula>$C$32=$O$18</formula>
    </cfRule>
  </conditionalFormatting>
  <conditionalFormatting sqref="C34">
    <cfRule type="expression" dxfId="3" priority="6">
      <formula>$C$34=$O$21</formula>
    </cfRule>
  </conditionalFormatting>
  <dataValidations count="10">
    <dataValidation type="list" allowBlank="1" showInputMessage="1" showErrorMessage="1" sqref="E13:F13">
      <formula1>$O$63:$O$64</formula1>
    </dataValidation>
    <dataValidation type="list" allowBlank="1" showInputMessage="1" showErrorMessage="1" sqref="E10:F10">
      <formula1>$O$55:$O$56</formula1>
    </dataValidation>
    <dataValidation type="list" allowBlank="1" showInputMessage="1" showErrorMessage="1" sqref="E16:F16">
      <formula1>$O$46:$O$47</formula1>
    </dataValidation>
    <dataValidation type="list" allowBlank="1" showInputMessage="1" showErrorMessage="1" sqref="C26:C30">
      <formula1>$O$11:$O$13</formula1>
    </dataValidation>
    <dataValidation type="list" allowBlank="1" showInputMessage="1" showErrorMessage="1" sqref="E9">
      <formula1>$O$3:$O$7</formula1>
    </dataValidation>
    <dataValidation type="list" operator="greaterThan" allowBlank="1" showInputMessage="1" showErrorMessage="1" sqref="E14">
      <formula1>$O$25:$O$29</formula1>
    </dataValidation>
    <dataValidation type="whole" allowBlank="1" showInputMessage="1" showErrorMessage="1" sqref="E11">
      <formula1>1</formula1>
      <formula2>5</formula2>
    </dataValidation>
    <dataValidation type="whole" allowBlank="1" showInputMessage="1" showErrorMessage="1" sqref="E12">
      <formula1>1</formula1>
      <formula2>4</formula2>
    </dataValidation>
    <dataValidation type="list" allowBlank="1" showInputMessage="1" showErrorMessage="1" sqref="E15:F15">
      <formula1>$O$41:$O$43</formula1>
    </dataValidation>
    <dataValidation type="list" allowBlank="1" showInputMessage="1" showErrorMessage="1" sqref="D8:F8">
      <formula1>$Q$5:$Q$8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AE9DC93A-0282-4346-9D30-273E8D9CDC61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B1:S70"/>
  <sheetViews>
    <sheetView zoomScale="70" zoomScaleNormal="70" workbookViewId="0">
      <selection activeCell="E7" sqref="E7:F7"/>
    </sheetView>
  </sheetViews>
  <sheetFormatPr defaultColWidth="9.109375" defaultRowHeight="18" x14ac:dyDescent="0.35"/>
  <cols>
    <col min="1" max="1" width="3" style="20" customWidth="1"/>
    <col min="2" max="2" width="43.44140625" style="20" customWidth="1"/>
    <col min="3" max="3" width="41.6640625" style="20" customWidth="1"/>
    <col min="4" max="6" width="14.6640625" style="74" customWidth="1"/>
    <col min="7" max="7" width="2.6640625" style="20" customWidth="1"/>
    <col min="8" max="8" width="80.33203125" style="20" customWidth="1"/>
    <col min="9" max="9" width="17.109375" style="20" customWidth="1"/>
    <col min="10" max="10" width="16.6640625" style="20" customWidth="1"/>
    <col min="11" max="11" width="13.44140625" style="20" customWidth="1"/>
    <col min="12" max="12" width="15.109375" style="20" hidden="1" customWidth="1"/>
    <col min="13" max="13" width="13.33203125" style="20" hidden="1" customWidth="1"/>
    <col min="14" max="14" width="9.109375" style="20" hidden="1" customWidth="1"/>
    <col min="15" max="15" width="37.88671875" style="20" hidden="1" customWidth="1"/>
    <col min="16" max="16" width="9.44140625" style="20" hidden="1" customWidth="1"/>
    <col min="17" max="20" width="0" style="20" hidden="1" customWidth="1"/>
    <col min="21" max="16384" width="9.109375" style="20"/>
  </cols>
  <sheetData>
    <row r="1" spans="2:15" x14ac:dyDescent="0.35">
      <c r="B1" s="19"/>
      <c r="C1" s="19"/>
    </row>
    <row r="2" spans="2:15" s="21" customFormat="1" ht="27.6" customHeight="1" x14ac:dyDescent="0.3">
      <c r="B2" s="85" t="s">
        <v>113</v>
      </c>
      <c r="C2" s="85"/>
      <c r="D2" s="85"/>
      <c r="E2" s="85"/>
      <c r="F2" s="85"/>
      <c r="G2" s="85"/>
      <c r="H2" s="85"/>
      <c r="I2" s="85"/>
      <c r="J2" s="85"/>
      <c r="K2" s="85"/>
    </row>
    <row r="3" spans="2:15" s="22" customFormat="1" ht="20.100000000000001" customHeight="1" x14ac:dyDescent="0.35">
      <c r="B3" s="23"/>
      <c r="C3" s="23"/>
      <c r="D3" s="23"/>
      <c r="E3" s="23"/>
      <c r="F3" s="23"/>
      <c r="H3" s="24"/>
      <c r="I3" s="24"/>
      <c r="J3" s="24"/>
      <c r="K3" s="24"/>
      <c r="O3" s="25" t="s">
        <v>77</v>
      </c>
    </row>
    <row r="4" spans="2:15" s="22" customFormat="1" ht="20.100000000000001" customHeight="1" x14ac:dyDescent="0.3">
      <c r="B4" s="86" t="s">
        <v>10</v>
      </c>
      <c r="C4" s="86"/>
      <c r="D4" s="86"/>
      <c r="E4" s="86"/>
      <c r="F4" s="86"/>
      <c r="H4" s="86" t="s">
        <v>9</v>
      </c>
      <c r="I4" s="86"/>
      <c r="J4" s="86"/>
      <c r="K4" s="86"/>
      <c r="O4" s="25" t="s">
        <v>76</v>
      </c>
    </row>
    <row r="5" spans="2:15" s="21" customFormat="1" ht="20.100000000000001" customHeight="1" thickBot="1" x14ac:dyDescent="0.35">
      <c r="B5" s="26"/>
      <c r="C5" s="26"/>
      <c r="D5" s="26"/>
      <c r="E5" s="26"/>
      <c r="F5" s="26"/>
      <c r="G5" s="22"/>
      <c r="H5" s="26"/>
      <c r="I5" s="26"/>
      <c r="J5" s="26"/>
      <c r="K5" s="26"/>
      <c r="O5" s="25"/>
    </row>
    <row r="6" spans="2:15" s="21" customFormat="1" ht="20.100000000000001" customHeight="1" x14ac:dyDescent="0.3">
      <c r="B6" s="87" t="s">
        <v>0</v>
      </c>
      <c r="C6" s="88"/>
      <c r="D6" s="88"/>
      <c r="E6" s="89">
        <v>2400</v>
      </c>
      <c r="F6" s="90"/>
      <c r="H6" s="91" t="s">
        <v>7</v>
      </c>
      <c r="I6" s="92"/>
      <c r="J6" s="27" t="s">
        <v>5</v>
      </c>
      <c r="K6" s="1">
        <f>E6-25</f>
        <v>2375</v>
      </c>
      <c r="O6" s="25"/>
    </row>
    <row r="7" spans="2:15" s="21" customFormat="1" ht="20.100000000000001" customHeight="1" thickBot="1" x14ac:dyDescent="0.35">
      <c r="B7" s="95" t="s">
        <v>13</v>
      </c>
      <c r="C7" s="96"/>
      <c r="D7" s="96"/>
      <c r="E7" s="97">
        <v>500</v>
      </c>
      <c r="F7" s="98"/>
      <c r="H7" s="93"/>
      <c r="I7" s="94"/>
      <c r="J7" s="28" t="s">
        <v>6</v>
      </c>
      <c r="K7" s="2">
        <f>IF(E9=O55,P55,IF(E9=O56,P56,IF(E9=O57,P57,IF(E9=O58,P58,IF(E9=O59,P59,IF(E9=O60,P60,0))))))</f>
        <v>490</v>
      </c>
      <c r="O7" s="25"/>
    </row>
    <row r="8" spans="2:15" s="21" customFormat="1" ht="20.100000000000001" customHeight="1" thickBot="1" x14ac:dyDescent="0.35">
      <c r="B8" s="99" t="s">
        <v>21</v>
      </c>
      <c r="C8" s="100"/>
      <c r="D8" s="100"/>
      <c r="E8" s="97" t="s">
        <v>77</v>
      </c>
      <c r="F8" s="98"/>
      <c r="H8" s="29"/>
      <c r="I8" s="29"/>
      <c r="J8" s="30"/>
      <c r="K8" s="3"/>
    </row>
    <row r="9" spans="2:15" s="21" customFormat="1" ht="20.100000000000001" customHeight="1" x14ac:dyDescent="0.3">
      <c r="B9" s="101" t="s">
        <v>64</v>
      </c>
      <c r="C9" s="102"/>
      <c r="D9" s="102"/>
      <c r="E9" s="103" t="s">
        <v>100</v>
      </c>
      <c r="F9" s="104"/>
      <c r="H9" s="31" t="s">
        <v>2</v>
      </c>
      <c r="I9" s="63" t="s">
        <v>20</v>
      </c>
      <c r="J9" s="27" t="s">
        <v>3</v>
      </c>
      <c r="K9" s="32" t="s">
        <v>4</v>
      </c>
      <c r="L9" s="61"/>
    </row>
    <row r="10" spans="2:15" s="21" customFormat="1" ht="20.100000000000001" customHeight="1" x14ac:dyDescent="0.35">
      <c r="B10" s="99" t="s">
        <v>1</v>
      </c>
      <c r="C10" s="100"/>
      <c r="D10" s="100"/>
      <c r="E10" s="105">
        <f>IF(E8=O3,1,2)</f>
        <v>1</v>
      </c>
      <c r="F10" s="106"/>
      <c r="H10" s="70" t="s">
        <v>82</v>
      </c>
      <c r="I10" s="68" t="s">
        <v>83</v>
      </c>
      <c r="J10" s="69">
        <f>E7-2</f>
        <v>498</v>
      </c>
      <c r="K10" s="71">
        <v>2</v>
      </c>
      <c r="L10" s="77">
        <v>0.16500000000000001</v>
      </c>
      <c r="M10" s="21">
        <f>L10*J10*K10/1000</f>
        <v>0.16434000000000001</v>
      </c>
    </row>
    <row r="11" spans="2:15" s="21" customFormat="1" ht="20.100000000000001" customHeight="1" x14ac:dyDescent="0.35">
      <c r="B11" s="101" t="s">
        <v>111</v>
      </c>
      <c r="C11" s="102"/>
      <c r="D11" s="102"/>
      <c r="E11" s="103" t="s">
        <v>65</v>
      </c>
      <c r="F11" s="104"/>
      <c r="H11" s="78" t="str">
        <f>IF(E9=O55,O69,IF(E9=O56,O70))</f>
        <v>Вертикальный профиль I 26</v>
      </c>
      <c r="I11" s="33" t="str">
        <f>IF(E9=O55,P69,IF(E9=O56,P70))</f>
        <v>CKRU0653</v>
      </c>
      <c r="J11" s="4">
        <f>$K$6</f>
        <v>2375</v>
      </c>
      <c r="K11" s="5">
        <f>IF(J11&gt;0,$E$10*2,0)</f>
        <v>2</v>
      </c>
      <c r="L11" s="20">
        <v>0.51200000000000001</v>
      </c>
      <c r="M11" s="79">
        <f>IF(H11=O69,J11*K11*L11/1000,0)</f>
        <v>2.4319999999999999</v>
      </c>
      <c r="O11" s="13" t="s">
        <v>31</v>
      </c>
    </row>
    <row r="12" spans="2:15" s="21" customFormat="1" ht="20.100000000000001" customHeight="1" x14ac:dyDescent="0.35">
      <c r="B12" s="133" t="s">
        <v>14</v>
      </c>
      <c r="C12" s="134"/>
      <c r="D12" s="134"/>
      <c r="E12" s="107">
        <v>0</v>
      </c>
      <c r="F12" s="108"/>
      <c r="H12" s="78" t="s">
        <v>67</v>
      </c>
      <c r="I12" s="33" t="s">
        <v>71</v>
      </c>
      <c r="J12" s="4">
        <f>K7-47</f>
        <v>443</v>
      </c>
      <c r="K12" s="5">
        <f>E10</f>
        <v>1</v>
      </c>
      <c r="L12" s="20">
        <v>0.495</v>
      </c>
      <c r="M12" s="79">
        <f>IF(H11=O70,J11*K11*L11/1000,0)</f>
        <v>0</v>
      </c>
      <c r="O12" s="13" t="s">
        <v>32</v>
      </c>
    </row>
    <row r="13" spans="2:15" s="21" customFormat="1" ht="20.100000000000001" customHeight="1" x14ac:dyDescent="0.35">
      <c r="B13" s="137" t="s">
        <v>48</v>
      </c>
      <c r="C13" s="138"/>
      <c r="D13" s="138"/>
      <c r="E13" s="139" t="s">
        <v>50</v>
      </c>
      <c r="F13" s="140"/>
      <c r="H13" s="78" t="s">
        <v>68</v>
      </c>
      <c r="I13" s="33" t="s">
        <v>72</v>
      </c>
      <c r="J13" s="4">
        <f>J12</f>
        <v>443</v>
      </c>
      <c r="K13" s="5">
        <f>E10</f>
        <v>1</v>
      </c>
      <c r="L13" s="20">
        <v>0.69</v>
      </c>
      <c r="M13" s="79">
        <f>IF(H11=O71,J11*K11*L11/1000,0)</f>
        <v>0</v>
      </c>
      <c r="O13" s="13" t="s">
        <v>33</v>
      </c>
    </row>
    <row r="14" spans="2:15" s="21" customFormat="1" ht="20.100000000000001" customHeight="1" thickBot="1" x14ac:dyDescent="0.4">
      <c r="B14" s="129" t="s">
        <v>84</v>
      </c>
      <c r="C14" s="130"/>
      <c r="D14" s="130"/>
      <c r="E14" s="131" t="s">
        <v>86</v>
      </c>
      <c r="F14" s="132"/>
      <c r="H14" s="78" t="s">
        <v>69</v>
      </c>
      <c r="I14" s="33" t="s">
        <v>73</v>
      </c>
      <c r="J14" s="4">
        <f>J12</f>
        <v>443</v>
      </c>
      <c r="K14" s="5">
        <f>IF(E11=O63,E10*E12,0)</f>
        <v>0</v>
      </c>
      <c r="L14" s="20">
        <v>0.53400000000000003</v>
      </c>
      <c r="M14" s="79">
        <f>IF(H11=O72,J11*K11*L11/1000,0)</f>
        <v>0</v>
      </c>
    </row>
    <row r="15" spans="2:15" s="21" customFormat="1" ht="20.100000000000001" customHeight="1" thickBot="1" x14ac:dyDescent="0.35">
      <c r="H15" s="34" t="s">
        <v>70</v>
      </c>
      <c r="I15" s="35" t="s">
        <v>74</v>
      </c>
      <c r="J15" s="6">
        <f>J12</f>
        <v>443</v>
      </c>
      <c r="K15" s="7">
        <f>IF(E11=O64,E10*E12,0)</f>
        <v>0</v>
      </c>
      <c r="L15" s="21">
        <v>0.36299999999999999</v>
      </c>
      <c r="M15" s="79">
        <f>IF(H11=O73,J11*K11*L11/1000,0)</f>
        <v>0</v>
      </c>
    </row>
    <row r="16" spans="2:15" s="21" customFormat="1" ht="20.100000000000001" customHeight="1" thickBot="1" x14ac:dyDescent="0.35">
      <c r="H16" s="61"/>
      <c r="I16" s="80"/>
      <c r="J16" s="81"/>
      <c r="K16" s="82"/>
      <c r="L16" s="21">
        <v>0.36199999999999999</v>
      </c>
      <c r="M16" s="79">
        <f>IF(H11=O74,J11*K11*L11/1000,0)</f>
        <v>0</v>
      </c>
    </row>
    <row r="17" spans="2:15" s="21" customFormat="1" ht="20.100000000000001" customHeight="1" x14ac:dyDescent="0.3">
      <c r="H17" s="37" t="s">
        <v>8</v>
      </c>
      <c r="I17" s="63" t="s">
        <v>20</v>
      </c>
      <c r="J17" s="125" t="s">
        <v>4</v>
      </c>
      <c r="K17" s="126"/>
      <c r="L17" s="21">
        <v>0.24099999999999999</v>
      </c>
      <c r="M17" s="21">
        <f>L17*J12*K12/1000</f>
        <v>0.106763</v>
      </c>
      <c r="O17" s="21" t="s">
        <v>37</v>
      </c>
    </row>
    <row r="18" spans="2:15" s="21" customFormat="1" ht="20.100000000000001" customHeight="1" x14ac:dyDescent="0.3">
      <c r="H18" s="72" t="s">
        <v>78</v>
      </c>
      <c r="I18" s="38" t="s">
        <v>79</v>
      </c>
      <c r="J18" s="127">
        <f>E10</f>
        <v>1</v>
      </c>
      <c r="K18" s="128"/>
      <c r="L18" s="21">
        <v>0.49300000000000005</v>
      </c>
      <c r="M18" s="21">
        <f>L18*J13*K13/1000</f>
        <v>0.21839900000000004</v>
      </c>
      <c r="O18" s="21" t="s">
        <v>38</v>
      </c>
    </row>
    <row r="19" spans="2:15" s="21" customFormat="1" ht="20.100000000000001" customHeight="1" x14ac:dyDescent="0.3">
      <c r="B19" s="21" t="s">
        <v>11</v>
      </c>
      <c r="H19" s="72" t="s">
        <v>42</v>
      </c>
      <c r="I19" s="18" t="s">
        <v>40</v>
      </c>
      <c r="J19" s="123">
        <f>ROUNDUP((IF(C25=O12,(D25+E25)*2*F25,0)
+IF(C26=O12,(D26+E26)*2*F26,0)
+IF(C27=O12,(D27+E27)*2*F27,0)
+IF(C28=O12,(D28+E28)*2*F28,0)
+IF(C29=O12,(D29+E29)*2*F29,0))/1000,0)</f>
        <v>0</v>
      </c>
      <c r="K19" s="124"/>
      <c r="L19" s="21">
        <v>0.33600000000000002</v>
      </c>
      <c r="M19" s="21">
        <f>L19*J14*K14/1000</f>
        <v>0</v>
      </c>
    </row>
    <row r="20" spans="2:15" s="21" customFormat="1" ht="20.100000000000001" customHeight="1" thickBot="1" x14ac:dyDescent="0.35">
      <c r="H20" s="72" t="s">
        <v>43</v>
      </c>
      <c r="I20" s="18" t="s">
        <v>41</v>
      </c>
      <c r="J20" s="123">
        <f>ROUNDUP((IF(C25=O13,(D25+E25)*2*F25,0)
+IF(C26=O13,(D26+E26)*2*F26,0)
+IF(C27=O13,(D27+E27)*2*F27,0)
+IF(C28=O13,(D28+E28)*2*F28,0)
+IF(C29=O13,(D29+E29)*2*F29,0))/1000,0)</f>
        <v>0</v>
      </c>
      <c r="K20" s="124"/>
      <c r="L20" s="21">
        <v>0.17199999999999999</v>
      </c>
      <c r="M20" s="21">
        <f>L20*J15*K15/1000</f>
        <v>0</v>
      </c>
    </row>
    <row r="21" spans="2:15" s="21" customFormat="1" ht="20.100000000000001" customHeight="1" thickBot="1" x14ac:dyDescent="0.4">
      <c r="B21" s="40" t="s">
        <v>57</v>
      </c>
      <c r="C21" s="41">
        <f>E12+1</f>
        <v>1</v>
      </c>
      <c r="D21" s="64"/>
      <c r="E21" s="39"/>
      <c r="F21" s="39"/>
      <c r="H21" s="72" t="s">
        <v>49</v>
      </c>
      <c r="I21" s="18" t="s">
        <v>54</v>
      </c>
      <c r="J21" s="135">
        <f>IF(E13=O46,K12*2+K13*2+K14*2+K15*2,0)</f>
        <v>0</v>
      </c>
      <c r="K21" s="136"/>
      <c r="M21" s="36">
        <f>SUM(M10:M20)/E10</f>
        <v>2.9215020000000003</v>
      </c>
      <c r="O21" s="20" t="s">
        <v>39</v>
      </c>
    </row>
    <row r="22" spans="2:15" s="21" customFormat="1" ht="20.100000000000001" customHeight="1" x14ac:dyDescent="0.35">
      <c r="H22" s="56" t="s">
        <v>50</v>
      </c>
      <c r="I22" s="15" t="s">
        <v>55</v>
      </c>
      <c r="J22" s="121">
        <f>IF(E13=O47,ROUNDUP(K11*K6/1000,0),0)</f>
        <v>5</v>
      </c>
      <c r="K22" s="122"/>
      <c r="O22" s="20" t="s">
        <v>12</v>
      </c>
    </row>
    <row r="23" spans="2:15" s="21" customFormat="1" ht="20.100000000000001" customHeight="1" thickBot="1" x14ac:dyDescent="0.35">
      <c r="H23" s="72" t="s">
        <v>51</v>
      </c>
      <c r="I23" s="38" t="s">
        <v>52</v>
      </c>
      <c r="J23" s="117">
        <f>IF(J22&gt;0,K11*2,0)</f>
        <v>4</v>
      </c>
      <c r="K23" s="118"/>
    </row>
    <row r="24" spans="2:15" s="21" customFormat="1" ht="20.100000000000001" customHeight="1" x14ac:dyDescent="0.3">
      <c r="B24" s="42" t="s">
        <v>22</v>
      </c>
      <c r="C24" s="43" t="s">
        <v>23</v>
      </c>
      <c r="D24" s="43" t="s">
        <v>24</v>
      </c>
      <c r="E24" s="44" t="s">
        <v>25</v>
      </c>
      <c r="F24" s="45" t="s">
        <v>58</v>
      </c>
      <c r="H24" s="72" t="s">
        <v>87</v>
      </c>
      <c r="I24" s="18" t="s">
        <v>80</v>
      </c>
      <c r="J24" s="135">
        <f>IF(E14=O68,E10,0)</f>
        <v>1</v>
      </c>
      <c r="K24" s="136"/>
    </row>
    <row r="25" spans="2:15" s="21" customFormat="1" ht="20.100000000000001" customHeight="1" x14ac:dyDescent="0.3">
      <c r="B25" s="83" t="s">
        <v>26</v>
      </c>
      <c r="C25" s="8" t="s">
        <v>31</v>
      </c>
      <c r="D25" s="9">
        <f>ROUNDDOWN(K6-IF(D29=0,0,IF(C29=O11,D29,IF(C29=O12,D29+2,D29+3)))-
IF(D28=0,0,IF(C28=O11,D28,IF(C28=O12,D28+2,D28+3)))-
IF(D27=0,0,IF(C27=O11,D27,IF(C27=O12,D27+2,D27+3)))-
IF(D26=0,0,IF(C26=O11,D26,IF(C26=O12,D26+2,D26+3)))-44-
IF(C25=O12,2,IF(C25=O13,3,0))-E12*IF(E11=O63,7,1),0)</f>
        <v>2331</v>
      </c>
      <c r="E25" s="48">
        <f>IF(C25=$O$11,$K$7-31,
IF(C25=$O$12,$K$7-31-2,
IF(C25=$O$13,$K$7-31-3,0)))</f>
        <v>459</v>
      </c>
      <c r="F25" s="49">
        <f>$E$10</f>
        <v>1</v>
      </c>
      <c r="G25" s="50">
        <f>IF(D25&lt;&gt;0,1,0)</f>
        <v>1</v>
      </c>
      <c r="H25" s="72" t="s">
        <v>88</v>
      </c>
      <c r="I25" s="18" t="s">
        <v>81</v>
      </c>
      <c r="J25" s="135">
        <f>IF(E14=O67,E10,0)</f>
        <v>0</v>
      </c>
      <c r="K25" s="136"/>
      <c r="O25" s="14">
        <v>0</v>
      </c>
    </row>
    <row r="26" spans="2:15" s="21" customFormat="1" ht="20.100000000000001" customHeight="1" thickBot="1" x14ac:dyDescent="0.35">
      <c r="B26" s="83" t="s">
        <v>27</v>
      </c>
      <c r="C26" s="8" t="s">
        <v>33</v>
      </c>
      <c r="D26" s="10">
        <v>0</v>
      </c>
      <c r="E26" s="48">
        <f t="shared" ref="E26:E29" si="0">IF(C26=$O$11,$K$7-31,
IF(C26=$O$12,$K$7-31-2,
IF(C26=$O$13,$K$7-31-3,0)))</f>
        <v>456</v>
      </c>
      <c r="F26" s="49">
        <f>IF(D26&lt;&gt;0,$E$10,0)</f>
        <v>0</v>
      </c>
      <c r="G26" s="50">
        <f>IF(D26&lt;&gt;0,1,0)</f>
        <v>0</v>
      </c>
      <c r="H26" s="34" t="s">
        <v>105</v>
      </c>
      <c r="I26" s="58" t="s">
        <v>104</v>
      </c>
      <c r="J26" s="115">
        <f>K14*2</f>
        <v>0</v>
      </c>
      <c r="K26" s="116"/>
      <c r="O26" s="14">
        <v>1</v>
      </c>
    </row>
    <row r="27" spans="2:15" s="21" customFormat="1" ht="20.100000000000001" customHeight="1" x14ac:dyDescent="0.3">
      <c r="B27" s="83" t="s">
        <v>28</v>
      </c>
      <c r="C27" s="8" t="s">
        <v>33</v>
      </c>
      <c r="D27" s="10">
        <v>0</v>
      </c>
      <c r="E27" s="48">
        <f t="shared" si="0"/>
        <v>456</v>
      </c>
      <c r="F27" s="49">
        <f>IF(D27&lt;&gt;0,$E$10,0)</f>
        <v>0</v>
      </c>
      <c r="G27" s="50">
        <f>IF(D27&lt;&gt;0,1,0)</f>
        <v>0</v>
      </c>
      <c r="H27" s="75"/>
      <c r="I27" s="39"/>
      <c r="J27" s="76"/>
      <c r="K27" s="76"/>
      <c r="O27" s="14">
        <v>2</v>
      </c>
    </row>
    <row r="28" spans="2:15" s="21" customFormat="1" ht="20.100000000000001" customHeight="1" x14ac:dyDescent="0.35">
      <c r="B28" s="83" t="s">
        <v>29</v>
      </c>
      <c r="C28" s="8" t="s">
        <v>33</v>
      </c>
      <c r="D28" s="10">
        <v>0</v>
      </c>
      <c r="E28" s="48">
        <f t="shared" si="0"/>
        <v>456</v>
      </c>
      <c r="F28" s="49">
        <f>IF(D28&lt;&gt;0,$E$10,0)</f>
        <v>0</v>
      </c>
      <c r="G28" s="50">
        <f>IF(D28&lt;&gt;0,1,0)</f>
        <v>0</v>
      </c>
      <c r="H28" s="62"/>
      <c r="I28" s="62"/>
      <c r="J28" s="20"/>
      <c r="K28" s="84"/>
      <c r="M28" s="65"/>
      <c r="O28" s="14">
        <v>3</v>
      </c>
    </row>
    <row r="29" spans="2:15" s="21" customFormat="1" ht="20.100000000000001" customHeight="1" thickBot="1" x14ac:dyDescent="0.35">
      <c r="B29" s="53" t="s">
        <v>30</v>
      </c>
      <c r="C29" s="11" t="s">
        <v>33</v>
      </c>
      <c r="D29" s="12">
        <v>0</v>
      </c>
      <c r="E29" s="54">
        <f t="shared" si="0"/>
        <v>456</v>
      </c>
      <c r="F29" s="55">
        <f>IF(D29&lt;&gt;0,$E$10,0)</f>
        <v>0</v>
      </c>
      <c r="G29" s="50">
        <f>IF(D29&lt;&gt;0,1,0)</f>
        <v>0</v>
      </c>
      <c r="L29" s="66"/>
      <c r="O29" s="14">
        <v>4</v>
      </c>
    </row>
    <row r="30" spans="2:15" ht="20.100000000000001" customHeight="1" x14ac:dyDescent="0.35">
      <c r="B30" s="21"/>
      <c r="C30" s="21"/>
      <c r="D30" s="21"/>
      <c r="E30" s="21"/>
      <c r="F30" s="21"/>
      <c r="G30" s="21"/>
      <c r="L30" s="67"/>
    </row>
    <row r="31" spans="2:15" ht="20.100000000000001" customHeight="1" x14ac:dyDescent="0.35">
      <c r="B31" s="21"/>
      <c r="C31" s="18" t="str">
        <f>IF((SUM(G25:G29)/C21)&lt;&gt;1,O17,O18)</f>
        <v>Верно внесены высоты вставок</v>
      </c>
      <c r="D31" s="74">
        <f>IF(C31=O18,1,0)</f>
        <v>1</v>
      </c>
      <c r="E31" s="21"/>
      <c r="F31" s="21"/>
      <c r="G31" s="21"/>
      <c r="M31" s="21">
        <f>IF(C25=$O$11,((D25*E25*F25/$E$10)/1000000)*8,IF(C25=$O$12,((D25*E25*F25/$E$10)/1000000)*6.5,((D25*E25*F25/$E$10)/1000000)*11))</f>
        <v>8.5594319999999993</v>
      </c>
    </row>
    <row r="32" spans="2:15" ht="21" customHeight="1" x14ac:dyDescent="0.35">
      <c r="B32" s="21"/>
      <c r="C32" s="21"/>
      <c r="D32" s="21"/>
      <c r="E32" s="21"/>
      <c r="F32" s="21"/>
      <c r="G32" s="21"/>
      <c r="M32" s="21">
        <f>IF(C26=$O$11,((D26*E26*F26/$E$10)/1000000)*8,IF(C26=$O$12,((D26*E26*F26/$E$10)/1000000)*6.5,((D26*E26*F26/$E$10)/1000000)*11))</f>
        <v>0</v>
      </c>
    </row>
    <row r="33" spans="2:19" ht="20.100000000000001" customHeight="1" x14ac:dyDescent="0.35">
      <c r="B33" s="21"/>
      <c r="C33" s="114" t="str">
        <f>IF(AND(SUM(G25:G29)/C21=1,D29=0,C21&lt;&gt;1),O21,O22)</f>
        <v xml:space="preserve"> </v>
      </c>
      <c r="D33" s="114"/>
      <c r="E33" s="21"/>
      <c r="F33" s="21"/>
      <c r="G33" s="21"/>
      <c r="M33" s="21">
        <f>IF(C27=$O$11,((D27*E27*F27/$E$10)/1000000)*8,IF(C27=$O$12,((D27*E27*F27/$E$10)/1000000)*6.5,((D27*E27*F27/$E$10)/1000000)*11))</f>
        <v>0</v>
      </c>
      <c r="O33" s="13" t="s">
        <v>31</v>
      </c>
    </row>
    <row r="34" spans="2:19" ht="20.100000000000001" customHeight="1" x14ac:dyDescent="0.35">
      <c r="B34" s="21"/>
      <c r="C34" s="21"/>
      <c r="D34" s="21"/>
      <c r="E34" s="21"/>
      <c r="F34" s="21"/>
      <c r="G34" s="21"/>
      <c r="M34" s="21">
        <f>IF(C28=$O$11,((D28*E28*F28/$E$10)/1000000)*8,IF(C28=$O$12,((D28*E28*F28/$E$10)/1000000)*6.5,((D28*E28*F28/$E$10)/1000000)*11))</f>
        <v>0</v>
      </c>
      <c r="O34" s="13" t="s">
        <v>33</v>
      </c>
    </row>
    <row r="35" spans="2:19" ht="20.100000000000001" customHeight="1" thickBot="1" x14ac:dyDescent="0.4">
      <c r="B35" s="21"/>
      <c r="G35" s="21"/>
      <c r="M35" s="21">
        <f>IF(C29=$O$11,((D29*E29*F29/$E$10)/1000000)*8,IF(C29=$O$12,((D29*E29*F29/$E$10)/1000000)*6.5,((D29*E29*F29/$E$10)/1000000)*11))</f>
        <v>0</v>
      </c>
    </row>
    <row r="36" spans="2:19" ht="20.100000000000001" customHeight="1" thickBot="1" x14ac:dyDescent="0.4">
      <c r="B36" s="21"/>
      <c r="C36" s="21"/>
      <c r="D36" s="21"/>
      <c r="E36" s="20"/>
      <c r="F36" s="20"/>
      <c r="G36" s="21"/>
      <c r="M36" s="36">
        <f>SUM(M31:M35)</f>
        <v>8.5594319999999993</v>
      </c>
      <c r="O36" s="20" t="s">
        <v>44</v>
      </c>
    </row>
    <row r="37" spans="2:19" ht="18.600000000000001" thickBot="1" x14ac:dyDescent="0.4">
      <c r="B37" s="21"/>
      <c r="E37" s="21"/>
      <c r="F37" s="21"/>
      <c r="G37" s="21"/>
      <c r="M37" s="21"/>
      <c r="O37" s="21" t="s">
        <v>45</v>
      </c>
    </row>
    <row r="38" spans="2:19" ht="18.600000000000001" thickBot="1" x14ac:dyDescent="0.4">
      <c r="G38" s="21"/>
      <c r="L38" s="46" t="s">
        <v>59</v>
      </c>
      <c r="M38" s="47">
        <f>(M36+M21)*1.05</f>
        <v>12.0549807</v>
      </c>
      <c r="Q38" s="74"/>
      <c r="R38" s="59" t="s">
        <v>60</v>
      </c>
      <c r="S38" s="60">
        <f>ROUNDUP(M38,0)</f>
        <v>13</v>
      </c>
    </row>
    <row r="39" spans="2:19" x14ac:dyDescent="0.35">
      <c r="D39" s="20"/>
      <c r="E39" s="20"/>
      <c r="F39" s="20"/>
      <c r="G39" s="21"/>
    </row>
    <row r="40" spans="2:19" x14ac:dyDescent="0.35">
      <c r="G40" s="21"/>
    </row>
    <row r="41" spans="2:19" x14ac:dyDescent="0.35">
      <c r="G41" s="21"/>
      <c r="O41" s="20" t="s">
        <v>45</v>
      </c>
    </row>
    <row r="42" spans="2:19" x14ac:dyDescent="0.35">
      <c r="G42" s="21"/>
      <c r="O42" s="20" t="s">
        <v>46</v>
      </c>
    </row>
    <row r="43" spans="2:19" x14ac:dyDescent="0.35">
      <c r="O43" s="20" t="s">
        <v>47</v>
      </c>
    </row>
    <row r="46" spans="2:19" x14ac:dyDescent="0.35">
      <c r="O46" s="16" t="s">
        <v>49</v>
      </c>
    </row>
    <row r="47" spans="2:19" x14ac:dyDescent="0.35">
      <c r="O47" s="17" t="s">
        <v>50</v>
      </c>
    </row>
    <row r="48" spans="2:19" x14ac:dyDescent="0.35">
      <c r="O48" s="16"/>
    </row>
    <row r="50" spans="15:16" x14ac:dyDescent="0.35">
      <c r="O50" s="20" t="s">
        <v>56</v>
      </c>
    </row>
    <row r="51" spans="15:16" x14ac:dyDescent="0.35">
      <c r="O51" s="20" t="s">
        <v>12</v>
      </c>
    </row>
    <row r="55" spans="15:16" x14ac:dyDescent="0.35">
      <c r="O55" s="20" t="s">
        <v>100</v>
      </c>
      <c r="P55" s="20">
        <f>ROUNDUP(IF(AND(E13=O47,E8=O3),(E7-5-5)/E10,
IF(AND(E13=O47,E8=O4),(E7-5-10-5)/E10,
IF(AND(E13=O46,E8=O3),(E7-3-3)/E10,
IF(AND(E13=O46,E8=O4),(E7-3-4-3)/E10,0)))),0)</f>
        <v>490</v>
      </c>
    </row>
    <row r="56" spans="15:16" x14ac:dyDescent="0.35">
      <c r="O56" s="20" t="s">
        <v>101</v>
      </c>
      <c r="P56" s="20">
        <f>P55</f>
        <v>490</v>
      </c>
    </row>
    <row r="63" spans="15:16" x14ac:dyDescent="0.35">
      <c r="O63" s="20" t="s">
        <v>65</v>
      </c>
    </row>
    <row r="64" spans="15:16" x14ac:dyDescent="0.35">
      <c r="O64" s="20" t="s">
        <v>66</v>
      </c>
    </row>
    <row r="67" spans="15:16" x14ac:dyDescent="0.35">
      <c r="O67" s="20" t="s">
        <v>85</v>
      </c>
    </row>
    <row r="68" spans="15:16" x14ac:dyDescent="0.35">
      <c r="O68" s="20" t="s">
        <v>86</v>
      </c>
    </row>
    <row r="69" spans="15:16" x14ac:dyDescent="0.35">
      <c r="O69" s="83" t="s">
        <v>93</v>
      </c>
      <c r="P69" s="33" t="s">
        <v>94</v>
      </c>
    </row>
    <row r="70" spans="15:16" x14ac:dyDescent="0.35">
      <c r="O70" s="83" t="s">
        <v>95</v>
      </c>
      <c r="P70" s="33" t="s">
        <v>96</v>
      </c>
    </row>
  </sheetData>
  <sheetProtection algorithmName="SHA-512" hashValue="VClnVQALb66AjaMK/L13BxJF79z0L7pdWX4BqdZup4NRxUVGx5Yp6RNjQ+wt/DWdL4hapRcquflgbpNgC6WHtA==" saltValue="BYEe3v5UNdxz7vNYKefNYQ==" spinCount="100000" sheet="1" selectLockedCells="1"/>
  <mergeCells count="33">
    <mergeCell ref="B2:K2"/>
    <mergeCell ref="H4:K4"/>
    <mergeCell ref="B6:D6"/>
    <mergeCell ref="E6:F6"/>
    <mergeCell ref="H6:I7"/>
    <mergeCell ref="B7:D7"/>
    <mergeCell ref="E7:F7"/>
    <mergeCell ref="B4:F4"/>
    <mergeCell ref="B8:D8"/>
    <mergeCell ref="E8:F8"/>
    <mergeCell ref="B9:D9"/>
    <mergeCell ref="E9:F9"/>
    <mergeCell ref="B10:D10"/>
    <mergeCell ref="E10:F10"/>
    <mergeCell ref="B12:D12"/>
    <mergeCell ref="E12:F12"/>
    <mergeCell ref="B11:D11"/>
    <mergeCell ref="E11:F11"/>
    <mergeCell ref="B14:D14"/>
    <mergeCell ref="E14:F14"/>
    <mergeCell ref="J19:K19"/>
    <mergeCell ref="J20:K20"/>
    <mergeCell ref="J17:K17"/>
    <mergeCell ref="J18:K18"/>
    <mergeCell ref="B13:D13"/>
    <mergeCell ref="E13:F13"/>
    <mergeCell ref="C33:D33"/>
    <mergeCell ref="J26:K26"/>
    <mergeCell ref="J24:K24"/>
    <mergeCell ref="J25:K25"/>
    <mergeCell ref="J21:K21"/>
    <mergeCell ref="J22:K22"/>
    <mergeCell ref="J23:K23"/>
  </mergeCells>
  <conditionalFormatting sqref="C31">
    <cfRule type="expression" dxfId="2" priority="4">
      <formula>$C$31=$O$17</formula>
    </cfRule>
    <cfRule type="expression" dxfId="1" priority="5">
      <formula>$C$31=$O$18</formula>
    </cfRule>
  </conditionalFormatting>
  <conditionalFormatting sqref="C33">
    <cfRule type="expression" dxfId="0" priority="6">
      <formula>$C$33=$O$21</formula>
    </cfRule>
  </conditionalFormatting>
  <dataValidations count="8">
    <dataValidation type="list" allowBlank="1" showInputMessage="1" showErrorMessage="1" sqref="E11:F11">
      <formula1>$O$63:$O$64</formula1>
    </dataValidation>
    <dataValidation type="list" allowBlank="1" showInputMessage="1" showErrorMessage="1" sqref="E9:F9">
      <formula1>$O$55:$O$56</formula1>
    </dataValidation>
    <dataValidation type="list" allowBlank="1" showInputMessage="1" showErrorMessage="1" sqref="E13:F13">
      <formula1>$O$46:$O$47</formula1>
    </dataValidation>
    <dataValidation type="list" allowBlank="1" showInputMessage="1" showErrorMessage="1" sqref="C25:C29">
      <formula1>$O$11:$O$13</formula1>
    </dataValidation>
    <dataValidation type="list" operator="greaterThan" allowBlank="1" showInputMessage="1" showErrorMessage="1" sqref="E12">
      <formula1>$O$25:$O$29</formula1>
    </dataValidation>
    <dataValidation type="whole" allowBlank="1" showInputMessage="1" showErrorMessage="1" sqref="E10">
      <formula1>1</formula1>
      <formula2>5</formula2>
    </dataValidation>
    <dataValidation type="list" allowBlank="1" showInputMessage="1" showErrorMessage="1" sqref="E8:F8">
      <formula1>$O$3:$O$4</formula1>
    </dataValidation>
    <dataValidation type="list" allowBlank="1" showInputMessage="1" showErrorMessage="1" sqref="E14:F14">
      <formula1>$O$67:$O$68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5A604A02-6584-4F4C-AABA-0F172D69EE94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Раздвижные двери</vt:lpstr>
      <vt:lpstr>Распашные двери</vt:lpstr>
      <vt:lpstr>'Раздвижные двери'!Область_печати</vt:lpstr>
      <vt:lpstr>'Распашные двери'!Область_печати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2021-06-02T10:07:16Z</dcterms:modified>
</cp:coreProperties>
</file>