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0490" windowHeight="7755"/>
  </bookViews>
  <sheets>
    <sheet name="ОГЛАВЛЕНИЕ" sheetId="7" r:id="rId1"/>
    <sheet name="Подвесная" sheetId="5" r:id="rId2"/>
    <sheet name="Распашная" sheetId="3" r:id="rId3"/>
    <sheet name="Стационарная" sheetId="1" r:id="rId4"/>
    <sheet name="Складная" sheetId="4" r:id="rId5"/>
  </sheets>
  <calcPr calcId="162913"/>
</workbook>
</file>

<file path=xl/calcChain.xml><?xml version="1.0" encoding="utf-8"?>
<calcChain xmlns="http://schemas.openxmlformats.org/spreadsheetml/2006/main">
  <c r="N17" i="5" l="1"/>
  <c r="I10" i="4" l="1"/>
  <c r="N18" i="5" l="1"/>
  <c r="J13" i="5"/>
  <c r="J12" i="5"/>
  <c r="J11" i="5"/>
  <c r="J10" i="5"/>
  <c r="H6" i="5"/>
  <c r="I11" i="5" l="1"/>
  <c r="I12" i="5" s="1"/>
  <c r="N15" i="5" l="1"/>
  <c r="C17" i="4"/>
  <c r="N21" i="5"/>
  <c r="C16" i="5"/>
  <c r="N22" i="5" s="1"/>
  <c r="D14" i="5"/>
  <c r="H19" i="5" l="1"/>
  <c r="C10" i="4"/>
  <c r="J13" i="4" s="1"/>
  <c r="C12" i="4"/>
  <c r="D7" i="4" l="1"/>
  <c r="D6" i="4"/>
  <c r="D7" i="1"/>
  <c r="D6" i="1"/>
  <c r="D7" i="3"/>
  <c r="D7" i="5"/>
  <c r="J14" i="5"/>
  <c r="J15" i="5" s="1"/>
  <c r="I15" i="5"/>
  <c r="N10" i="1"/>
  <c r="I10" i="5"/>
  <c r="J21" i="5"/>
  <c r="H21" i="5"/>
  <c r="H20" i="5"/>
  <c r="J20" i="5"/>
  <c r="H6" i="4"/>
  <c r="N12" i="4"/>
  <c r="N13" i="4"/>
  <c r="J12" i="4"/>
  <c r="J11" i="4"/>
  <c r="I11" i="4"/>
  <c r="I13" i="4" s="1"/>
  <c r="I12" i="4"/>
  <c r="J16" i="4"/>
  <c r="J15" i="4"/>
  <c r="J14" i="4"/>
  <c r="J10" i="4"/>
  <c r="H7" i="4"/>
  <c r="J21" i="4" s="1"/>
  <c r="H22" i="4"/>
  <c r="I21" i="4"/>
  <c r="H21" i="4"/>
  <c r="I20" i="4"/>
  <c r="H20" i="4"/>
  <c r="J17" i="4"/>
  <c r="I17" i="4" s="1"/>
  <c r="I15" i="1"/>
  <c r="J14" i="3"/>
  <c r="I14" i="3" s="1"/>
  <c r="I10" i="3"/>
  <c r="H7" i="3" s="1"/>
  <c r="J17" i="3" s="1"/>
  <c r="H19" i="3"/>
  <c r="H18" i="3"/>
  <c r="H17" i="3"/>
  <c r="J13" i="3"/>
  <c r="J12" i="3"/>
  <c r="J11" i="3"/>
  <c r="J10" i="3"/>
  <c r="H6" i="3"/>
  <c r="D6" i="3" s="1"/>
  <c r="I22" i="4"/>
  <c r="J18" i="3"/>
  <c r="J19" i="3"/>
  <c r="H21" i="1"/>
  <c r="H20" i="1"/>
  <c r="H19" i="1"/>
  <c r="H6" i="1"/>
  <c r="I20" i="1"/>
  <c r="J16" i="1"/>
  <c r="J15" i="1"/>
  <c r="J14" i="1"/>
  <c r="J10" i="1"/>
  <c r="J12" i="1"/>
  <c r="J11" i="1"/>
  <c r="J13" i="1"/>
  <c r="I14" i="1"/>
  <c r="I16" i="1"/>
  <c r="I13" i="1"/>
  <c r="I12" i="1"/>
  <c r="I11" i="1"/>
  <c r="I10" i="1"/>
  <c r="H7" i="1" s="1"/>
  <c r="J19" i="1"/>
  <c r="J20" i="1"/>
  <c r="J21" i="1"/>
  <c r="I21" i="1"/>
  <c r="N13" i="1"/>
  <c r="I19" i="1"/>
  <c r="H7" i="5" l="1"/>
  <c r="J19" i="5" s="1"/>
  <c r="N13" i="5"/>
  <c r="N21" i="4"/>
  <c r="N22" i="4"/>
  <c r="I14" i="4"/>
  <c r="N20" i="4"/>
  <c r="J22" i="4"/>
  <c r="J20" i="4"/>
  <c r="N18" i="4"/>
  <c r="N19" i="4" s="1"/>
  <c r="N12" i="1"/>
  <c r="N11" i="1" s="1"/>
  <c r="N15" i="3"/>
  <c r="N14" i="3" s="1"/>
  <c r="I13" i="3"/>
  <c r="I18" i="3"/>
  <c r="N16" i="3" s="1"/>
  <c r="I19" i="3"/>
  <c r="I17" i="3"/>
  <c r="I12" i="3"/>
  <c r="N10" i="5"/>
  <c r="N11" i="5" s="1"/>
  <c r="I20" i="5"/>
  <c r="I21" i="5"/>
  <c r="I19" i="5"/>
  <c r="I14" i="5"/>
  <c r="N14" i="5"/>
  <c r="D6" i="5"/>
  <c r="I16" i="4"/>
  <c r="I15" i="4"/>
  <c r="I13" i="5"/>
  <c r="I11" i="3"/>
  <c r="N16" i="5"/>
  <c r="N19" i="5" s="1"/>
  <c r="N12" i="5" l="1"/>
  <c r="N20" i="5"/>
</calcChain>
</file>

<file path=xl/comments1.xml><?xml version="1.0" encoding="utf-8"?>
<comments xmlns="http://schemas.openxmlformats.org/spreadsheetml/2006/main">
  <authors>
    <author>Пользователь</author>
  </authors>
  <commentList>
    <comment ref="C9" authorId="0" shapeId="0">
      <text>
        <r>
          <rPr>
            <b/>
            <sz val="9"/>
            <color indexed="81"/>
            <rFont val="Tahoma"/>
            <charset val="1"/>
          </rPr>
          <t>Внимание!
Выберите только один вариант установки из пяти.</t>
        </r>
      </text>
    </comment>
    <comment ref="C10" authorId="0" shapeId="0">
      <text>
        <r>
          <rPr>
            <b/>
            <sz val="9"/>
            <color indexed="81"/>
            <rFont val="Tahoma"/>
            <charset val="1"/>
          </rPr>
          <t>Внимание!
Выберите только один вариант установки из пяти.</t>
        </r>
      </text>
    </comment>
    <comment ref="C11" authorId="0" shapeId="0">
      <text>
        <r>
          <rPr>
            <b/>
            <sz val="9"/>
            <color indexed="81"/>
            <rFont val="Tahoma"/>
            <charset val="1"/>
          </rPr>
          <t>Внимание!
Выберите только один вариант установки из пяти.</t>
        </r>
      </text>
    </comment>
    <comment ref="C12" authorId="0" shapeId="0">
      <text>
        <r>
          <rPr>
            <b/>
            <sz val="9"/>
            <color indexed="81"/>
            <rFont val="Tahoma"/>
            <charset val="1"/>
          </rPr>
          <t>Внимание!
Выберите только один вариант установки из пяти.</t>
        </r>
      </text>
    </comment>
    <comment ref="C13" authorId="0" shapeId="0">
      <text>
        <r>
          <rPr>
            <b/>
            <sz val="9"/>
            <color indexed="81"/>
            <rFont val="Tahoma"/>
            <charset val="1"/>
          </rPr>
          <t>Внимание!
Выберите только один вариант установки из пяти.</t>
        </r>
      </text>
    </comment>
    <comment ref="C18" authorId="0" shapeId="0">
      <text>
        <r>
          <rPr>
            <b/>
            <sz val="9"/>
            <color indexed="81"/>
            <rFont val="Tahoma"/>
            <charset val="1"/>
          </rPr>
          <t>Внимание!
Используется только с вариантом 2 и 4.</t>
        </r>
      </text>
    </comment>
  </commentList>
</comments>
</file>

<file path=xl/sharedStrings.xml><?xml version="1.0" encoding="utf-8"?>
<sst xmlns="http://schemas.openxmlformats.org/spreadsheetml/2006/main" count="320" uniqueCount="137">
  <si>
    <t>ширина проема:</t>
  </si>
  <si>
    <t>высота проема:</t>
  </si>
  <si>
    <t>средних рамок:</t>
  </si>
  <si>
    <t>с профилем "П":</t>
  </si>
  <si>
    <t>закрыто сверху:</t>
  </si>
  <si>
    <t>наименование</t>
  </si>
  <si>
    <t>артикул</t>
  </si>
  <si>
    <t>вертикальный профиль</t>
  </si>
  <si>
    <t>CKRU 0413</t>
  </si>
  <si>
    <t>рамка верхняя</t>
  </si>
  <si>
    <t>CKRU 0409</t>
  </si>
  <si>
    <t>рамка нижняя</t>
  </si>
  <si>
    <t>CKRU 0408</t>
  </si>
  <si>
    <t>рамка средняя</t>
  </si>
  <si>
    <t>CKRU 0412</t>
  </si>
  <si>
    <t>критерий</t>
  </si>
  <si>
    <t>направляющая верхняя</t>
  </si>
  <si>
    <t>CKRU 0410</t>
  </si>
  <si>
    <t>накладка декоративная</t>
  </si>
  <si>
    <t>CKRU 0414</t>
  </si>
  <si>
    <t>профиль "П"</t>
  </si>
  <si>
    <t>CKRU 0001</t>
  </si>
  <si>
    <t>размер</t>
  </si>
  <si>
    <t>количество</t>
  </si>
  <si>
    <t>деталей</t>
  </si>
  <si>
    <t>ПРОФИЛЯ:</t>
  </si>
  <si>
    <t>вид</t>
  </si>
  <si>
    <t>ЛДСП, 10 мм</t>
  </si>
  <si>
    <t>ЛДСП, 8 мм</t>
  </si>
  <si>
    <t>Стекло, зеркало 4 мм</t>
  </si>
  <si>
    <t>РАЗМЕРЫ ПЕРЕГОРОДКИ:</t>
  </si>
  <si>
    <t>вставок</t>
  </si>
  <si>
    <t>горизонтальные</t>
  </si>
  <si>
    <t>ЗАПОЛНИТЕ ИСХОДНЫЕ:</t>
  </si>
  <si>
    <t>ВСТАВКА-НАПОЛНЕНИЕ:</t>
  </si>
  <si>
    <t>ЛДСП, 10 мм:</t>
  </si>
  <si>
    <t>ЛДСП, 8 мм:</t>
  </si>
  <si>
    <t>Стекло, зеркало 4 мм:</t>
  </si>
  <si>
    <t>значение</t>
  </si>
  <si>
    <t>высота перегородки:</t>
  </si>
  <si>
    <t>ширина перегородки:</t>
  </si>
  <si>
    <t>пояснения</t>
  </si>
  <si>
    <r>
      <t xml:space="preserve">"0" - </t>
    </r>
    <r>
      <rPr>
        <sz val="10"/>
        <rFont val="Calibri"/>
        <family val="2"/>
        <charset val="204"/>
        <scheme val="minor"/>
      </rPr>
      <t>нет</t>
    </r>
    <r>
      <rPr>
        <sz val="10"/>
        <color rgb="FFC00000"/>
        <rFont val="Calibri"/>
        <family val="2"/>
        <charset val="204"/>
        <scheme val="minor"/>
      </rPr>
      <t xml:space="preserve">, "1" - </t>
    </r>
    <r>
      <rPr>
        <sz val="10"/>
        <rFont val="Calibri"/>
        <family val="2"/>
        <charset val="204"/>
        <scheme val="minor"/>
      </rPr>
      <t>есть</t>
    </r>
  </si>
  <si>
    <t>регулируема ножка правая/левая</t>
  </si>
  <si>
    <t>ARSP 01(R/L)</t>
  </si>
  <si>
    <t>сборочный винт</t>
  </si>
  <si>
    <t>заглушка дверная (от основной системы)</t>
  </si>
  <si>
    <t>ФУРНИТУРА:</t>
  </si>
  <si>
    <t>уплотнитель</t>
  </si>
  <si>
    <t>АВТОМАТИЧЕСКИЙ РАСЧЕТ РАЗМЕРОВ И КОЛИЧЕСТВА КОМПЛЕКТУЮЩИХ ДЛЯ ОДНОЙ СТАЦИОНАРНОЙ ПЕРЕГОРОДКИ</t>
  </si>
  <si>
    <t>АВТОМАТИЧЕСКИЙ РАСЧЕТ РАЗМЕРОВ И КОЛИЧЕСТВА КОМПЛЕКТУЮЩИХ ДЛЯ ОДНОЙ РАСПАШНОЙ ПЕРЕГОРОДКИ</t>
  </si>
  <si>
    <t>РАЗМЕРЫ ОДНОЙ ДВЕРИ:</t>
  </si>
  <si>
    <t>количество дверей:</t>
  </si>
  <si>
    <t>высота одной двери:</t>
  </si>
  <si>
    <t>ширина одной двери:</t>
  </si>
  <si>
    <t>ручка-рейлинг</t>
  </si>
  <si>
    <t>CKRU 0418</t>
  </si>
  <si>
    <t>ARRP 01</t>
  </si>
  <si>
    <t>ПРОФИЛЯ ДЛЯ ОДНОЙ ДВЕРИ:</t>
  </si>
  <si>
    <t>ФУРНИТУРА ДЛЯ ОДНОЙ ДВЕРИ:</t>
  </si>
  <si>
    <t>ВСТАВКА-НАПОЛНЕНИЕ ДЛЯ ОДНОЙ ДВЕРИ:</t>
  </si>
  <si>
    <t>ARRP 02</t>
  </si>
  <si>
    <t>ARRP 03</t>
  </si>
  <si>
    <t>стопор распашного механизма</t>
  </si>
  <si>
    <t>держатель ручки-рейлинг</t>
  </si>
  <si>
    <t>заглушка ручки-рейлинг</t>
  </si>
  <si>
    <t xml:space="preserve"> ARRP 04</t>
  </si>
  <si>
    <t>шкафной распашной механизм</t>
  </si>
  <si>
    <t>высота створки двери:</t>
  </si>
  <si>
    <t>ширина створки двери:</t>
  </si>
  <si>
    <t>CKRU 0107</t>
  </si>
  <si>
    <t>CKRU 0107:</t>
  </si>
  <si>
    <t>верхний ролик</t>
  </si>
  <si>
    <t>ARSK 01</t>
  </si>
  <si>
    <t>верхняя неподвижная опора</t>
  </si>
  <si>
    <t>ARSK 03</t>
  </si>
  <si>
    <t>нижняя опора правая</t>
  </si>
  <si>
    <t>ARSK 07</t>
  </si>
  <si>
    <t>нижняя опора левая</t>
  </si>
  <si>
    <t>ARSK 09</t>
  </si>
  <si>
    <t>петля</t>
  </si>
  <si>
    <t>ARSK 05</t>
  </si>
  <si>
    <t>установка справа:</t>
  </si>
  <si>
    <t>установка слева:</t>
  </si>
  <si>
    <r>
      <rPr>
        <sz val="10"/>
        <color theme="1"/>
        <rFont val="Calibri"/>
        <family val="2"/>
        <charset val="204"/>
      </rPr>
      <t>∑</t>
    </r>
    <r>
      <rPr>
        <sz val="13"/>
        <color theme="1"/>
        <rFont val="Calibri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ширина</t>
    </r>
  </si>
  <si>
    <r>
      <rPr>
        <sz val="10"/>
        <color theme="1"/>
        <rFont val="Calibri"/>
        <family val="2"/>
        <charset val="204"/>
      </rPr>
      <t>∑</t>
    </r>
    <r>
      <rPr>
        <sz val="13"/>
        <color theme="1"/>
        <rFont val="Calibri"/>
        <family val="2"/>
        <charset val="204"/>
      </rPr>
      <t xml:space="preserve"> </t>
    </r>
    <r>
      <rPr>
        <sz val="10"/>
        <color theme="1"/>
        <rFont val="Calibri"/>
        <family val="2"/>
        <charset val="204"/>
        <scheme val="minor"/>
      </rPr>
      <t>высота</t>
    </r>
  </si>
  <si>
    <t>АВТОМАТИЧЕСКИЙ РАСЧЕТ РАЗМЕРОВ И КОЛИЧЕСТВА КОМПЛЕКТУЮЩИХ ДЛЯ ОДНОЙ СКЛАДНОЙ ПЕРЕГОРОДКИ</t>
  </si>
  <si>
    <t>АВТОМАТИЧЕСКИЙ РАСЧЕТ РАЗМЕРОВ И КОЛИЧЕСТВА КОМПЛЕКТУЮЩИХ ДЛЯ ОДНОЙ ПОДВЕСНОЙ ПЕРЕГОРОДКИ</t>
  </si>
  <si>
    <t>высота двери:</t>
  </si>
  <si>
    <t>ширина двери:</t>
  </si>
  <si>
    <t>шлегель:</t>
  </si>
  <si>
    <t>ARPP 01</t>
  </si>
  <si>
    <t>ARPP 03</t>
  </si>
  <si>
    <t>стопор с амортизатором</t>
  </si>
  <si>
    <t>ARPP 05</t>
  </si>
  <si>
    <t>шлегель</t>
  </si>
  <si>
    <t>профиль держатель стеновой</t>
  </si>
  <si>
    <t>ARPP 02</t>
  </si>
  <si>
    <t>заглушка торцевая для верхней направляющей</t>
  </si>
  <si>
    <t>ARPP 04</t>
  </si>
  <si>
    <r>
      <t xml:space="preserve">ПРОФИЛЯ ДЛЯ </t>
    </r>
    <r>
      <rPr>
        <b/>
        <sz val="12"/>
        <color rgb="FFC00000"/>
        <rFont val="Calibri"/>
        <family val="2"/>
        <charset val="204"/>
        <scheme val="minor"/>
      </rPr>
      <t>ВСЕЙ ПЕРЕГОРОДКИ</t>
    </r>
    <r>
      <rPr>
        <b/>
        <sz val="12"/>
        <rFont val="Calibri"/>
        <family val="2"/>
        <charset val="204"/>
        <scheme val="minor"/>
      </rPr>
      <t>:</t>
    </r>
  </si>
  <si>
    <r>
      <t xml:space="preserve">ФУРНИТУРА ДЛЯ </t>
    </r>
    <r>
      <rPr>
        <b/>
        <sz val="12"/>
        <color rgb="FFC00000"/>
        <rFont val="Calibri"/>
        <family val="2"/>
        <charset val="204"/>
        <scheme val="minor"/>
      </rPr>
      <t>ВСЕЙ ПЕРЕГОРОДКИ</t>
    </r>
    <r>
      <rPr>
        <b/>
        <sz val="12"/>
        <rFont val="Calibri"/>
        <family val="2"/>
        <charset val="204"/>
        <scheme val="minor"/>
      </rPr>
      <t>:</t>
    </r>
  </si>
  <si>
    <r>
      <t xml:space="preserve">ВСТАВКА-НАПОЛНЕНИЕ ДЛЯ </t>
    </r>
    <r>
      <rPr>
        <b/>
        <sz val="12"/>
        <color rgb="FFC00000"/>
        <rFont val="Calibri"/>
        <family val="2"/>
        <charset val="204"/>
        <scheme val="minor"/>
      </rPr>
      <t>ОДНОЙ ДВЕРИ</t>
    </r>
    <r>
      <rPr>
        <b/>
        <sz val="12"/>
        <rFont val="Calibri"/>
        <family val="2"/>
        <charset val="204"/>
        <scheme val="minor"/>
      </rPr>
      <t>:</t>
    </r>
  </si>
  <si>
    <t>оглавление</t>
  </si>
  <si>
    <t>ролик верхний с креплением</t>
  </si>
  <si>
    <t>ролик нижний с площадкой</t>
  </si>
  <si>
    <r>
      <t xml:space="preserve">Расстояние от края вертикального профиля до центра отверстия под сборочный винт равно </t>
    </r>
    <r>
      <rPr>
        <b/>
        <sz val="10"/>
        <color rgb="FFC00000"/>
        <rFont val="Calibri"/>
        <family val="2"/>
        <charset val="204"/>
        <scheme val="minor"/>
      </rPr>
      <t>17 мм</t>
    </r>
    <r>
      <rPr>
        <sz val="10"/>
        <color theme="1"/>
        <rFont val="Calibri"/>
        <family val="2"/>
        <charset val="204"/>
        <scheme val="minor"/>
      </rPr>
      <t xml:space="preserve">. Диаметры отверстий: внутренний равен </t>
    </r>
    <r>
      <rPr>
        <b/>
        <sz val="10"/>
        <color rgb="FFC00000"/>
        <rFont val="Calibri"/>
        <family val="2"/>
        <charset val="204"/>
        <scheme val="minor"/>
      </rPr>
      <t>5,5 мм</t>
    </r>
    <r>
      <rPr>
        <sz val="10"/>
        <color theme="1"/>
        <rFont val="Calibri"/>
        <family val="2"/>
        <charset val="204"/>
        <scheme val="minor"/>
      </rPr>
      <t xml:space="preserve">; внешний равен </t>
    </r>
    <r>
      <rPr>
        <b/>
        <sz val="10"/>
        <color rgb="FFC00000"/>
        <rFont val="Calibri"/>
        <family val="2"/>
        <charset val="204"/>
        <scheme val="minor"/>
      </rPr>
      <t>9 мм</t>
    </r>
    <r>
      <rPr>
        <sz val="10"/>
        <color theme="1"/>
        <rFont val="Calibri"/>
        <family val="2"/>
        <charset val="204"/>
        <scheme val="minor"/>
      </rPr>
      <t>.</t>
    </r>
  </si>
  <si>
    <t>ОТВЕРСТИЯ ПОД СБОРОЧНЫЕ ВИНТЫ:</t>
  </si>
  <si>
    <r>
      <rPr>
        <b/>
        <u/>
        <sz val="9"/>
        <rFont val="Calibri"/>
        <family val="2"/>
        <charset val="204"/>
        <scheme val="minor"/>
      </rPr>
      <t>Форма №1</t>
    </r>
    <r>
      <rPr>
        <b/>
        <sz val="9"/>
        <rFont val="Calibri"/>
        <family val="2"/>
        <charset val="204"/>
        <scheme val="minor"/>
      </rPr>
      <t>:</t>
    </r>
    <r>
      <rPr>
        <b/>
        <sz val="9"/>
        <color rgb="FFC00000"/>
        <rFont val="Calibri"/>
        <family val="2"/>
        <charset val="204"/>
        <scheme val="minor"/>
      </rPr>
      <t xml:space="preserve"> ЗАПОЛНЯЕТСЯ ПОЛЬЗОВАТЕЛЕМ!</t>
    </r>
  </si>
  <si>
    <r>
      <rPr>
        <b/>
        <u/>
        <sz val="9"/>
        <rFont val="Calibri"/>
        <family val="2"/>
        <charset val="204"/>
        <scheme val="minor"/>
      </rPr>
      <t>Форма №2:</t>
    </r>
    <r>
      <rPr>
        <b/>
        <sz val="9"/>
        <rFont val="Calibri"/>
        <family val="2"/>
        <charset val="204"/>
        <scheme val="minor"/>
      </rPr>
      <t xml:space="preserve"> </t>
    </r>
    <r>
      <rPr>
        <b/>
        <sz val="9"/>
        <color rgb="FFC00000"/>
        <rFont val="Calibri"/>
        <family val="2"/>
        <charset val="204"/>
        <scheme val="minor"/>
      </rPr>
      <t xml:space="preserve">ЗАПОЛНЯЕТСЯ АВТОМАТИЧЕСКИ ПО ДАННЫМ ИЗ </t>
    </r>
    <r>
      <rPr>
        <b/>
        <u/>
        <sz val="9"/>
        <color rgb="FFC00000"/>
        <rFont val="Calibri"/>
        <family val="2"/>
        <charset val="204"/>
        <scheme val="minor"/>
      </rPr>
      <t>Формы №1</t>
    </r>
    <r>
      <rPr>
        <b/>
        <sz val="9"/>
        <color rgb="FFC00000"/>
        <rFont val="Calibri"/>
        <family val="2"/>
        <charset val="204"/>
        <scheme val="minor"/>
      </rPr>
      <t>!</t>
    </r>
  </si>
  <si>
    <t>не более двух</t>
  </si>
  <si>
    <t>CKRU 0414:</t>
  </si>
  <si>
    <t>Последовательное открывание вправо:</t>
  </si>
  <si>
    <t>Последовательное открывание влево:</t>
  </si>
  <si>
    <t>Количество дверей для последовательного открывания:</t>
  </si>
  <si>
    <t>Механизм последовательного открывания левый</t>
  </si>
  <si>
    <t>Механизм последовательного открывания правый</t>
  </si>
  <si>
    <t>ARPP06 R</t>
  </si>
  <si>
    <t>ARPP06 L</t>
  </si>
  <si>
    <t>цвет матовый хром:</t>
  </si>
  <si>
    <t>ARSK02 PVC</t>
  </si>
  <si>
    <t>цвет венге:</t>
  </si>
  <si>
    <t>ARSK02</t>
  </si>
  <si>
    <t>ограничитель складной двери, коричневый</t>
  </si>
  <si>
    <t>ограничитель складной двери, серый</t>
  </si>
  <si>
    <r>
      <t xml:space="preserve">Расстояние от края вертикального профиля до центра отверстия под сборочный винт равно </t>
    </r>
    <r>
      <rPr>
        <b/>
        <sz val="9"/>
        <color rgb="FFC00000"/>
        <rFont val="Calibri"/>
        <family val="2"/>
        <charset val="204"/>
        <scheme val="minor"/>
      </rPr>
      <t>17 мм</t>
    </r>
    <r>
      <rPr>
        <sz val="9"/>
        <color theme="1"/>
        <rFont val="Calibri"/>
        <family val="2"/>
        <charset val="204"/>
        <scheme val="minor"/>
      </rPr>
      <t xml:space="preserve">. Диаметры отверстий: внутренний равен </t>
    </r>
    <r>
      <rPr>
        <b/>
        <sz val="9"/>
        <color rgb="FFC00000"/>
        <rFont val="Calibri"/>
        <family val="2"/>
        <charset val="204"/>
        <scheme val="minor"/>
      </rPr>
      <t>5,5 мм</t>
    </r>
    <r>
      <rPr>
        <sz val="9"/>
        <color theme="1"/>
        <rFont val="Calibri"/>
        <family val="2"/>
        <charset val="204"/>
        <scheme val="minor"/>
      </rPr>
      <t xml:space="preserve">; внешний равен </t>
    </r>
    <r>
      <rPr>
        <b/>
        <sz val="9"/>
        <color rgb="FFC00000"/>
        <rFont val="Calibri"/>
        <family val="2"/>
        <charset val="204"/>
        <scheme val="minor"/>
      </rPr>
      <t>9 мм</t>
    </r>
    <r>
      <rPr>
        <sz val="9"/>
        <color theme="1"/>
        <rFont val="Calibri"/>
        <family val="2"/>
        <charset val="204"/>
        <scheme val="minor"/>
      </rPr>
      <t>.</t>
    </r>
  </si>
  <si>
    <t>Вариант 1 - однодверная, настенная:</t>
  </si>
  <si>
    <t>Вариант 2 - двухдверная, настенная:</t>
  </si>
  <si>
    <t>Механизм синхронного открывания</t>
  </si>
  <si>
    <t>ARPP 09</t>
  </si>
  <si>
    <t>механизм синхронного открывания:</t>
  </si>
  <si>
    <t>ручка врезная:</t>
  </si>
  <si>
    <t>Ручка врезная</t>
  </si>
  <si>
    <t>ARPP 07</t>
  </si>
  <si>
    <t>Вариант 4 - двухдверная, в проем (использовать совместно со стационарными перегородками):</t>
  </si>
  <si>
    <t>Вариант 3 - двухдверная, в проем (шкаф-купе):</t>
  </si>
  <si>
    <t>Вариант 5 - последовательное открывание: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</si>
</sst>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&quot; мм.&quot;"/>
    <numFmt numFmtId="165" formatCode="#,##0&quot; шт.&quot;"/>
    <numFmt numFmtId="166" formatCode="#,##0.00&quot;р.&quot;"/>
    <numFmt numFmtId="167" formatCode="#,##0.0&quot; мм.&quot;"/>
    <numFmt numFmtId="168" formatCode="#,##0.0&quot; комп.&quot;"/>
    <numFmt numFmtId="169" formatCode="#,##0&quot; комп.&quot;"/>
    <numFmt numFmtId="170" formatCode="#,##0.0"/>
  </numFmts>
  <fonts count="2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9" tint="-0.49998474074526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rgb="FFC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9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3"/>
      <color theme="1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6" tint="-0.499984740745262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u/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theme="5" tint="-0.2499465926084170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0" fontId="9" fillId="0" borderId="0"/>
    <xf numFmtId="0" fontId="19" fillId="0" borderId="0" applyNumberFormat="0" applyFill="0" applyBorder="0" applyAlignment="0" applyProtection="0"/>
  </cellStyleXfs>
  <cellXfs count="219">
    <xf numFmtId="0" fontId="0" fillId="0" borderId="0" xfId="0"/>
    <xf numFmtId="0" fontId="0" fillId="0" borderId="0" xfId="0" applyAlignment="1">
      <alignment vertical="center"/>
    </xf>
    <xf numFmtId="16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167" fontId="0" fillId="0" borderId="1" xfId="0" applyNumberForma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168" fontId="2" fillId="0" borderId="9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169" fontId="2" fillId="0" borderId="9" xfId="0" applyNumberFormat="1" applyFont="1" applyFill="1" applyBorder="1" applyAlignment="1">
      <alignment horizontal="right" vertical="center"/>
    </xf>
    <xf numFmtId="165" fontId="2" fillId="0" borderId="9" xfId="1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4" fontId="0" fillId="0" borderId="1" xfId="0" applyNumberFormat="1" applyFill="1" applyBorder="1" applyAlignment="1">
      <alignment horizontal="right" vertical="center"/>
    </xf>
    <xf numFmtId="165" fontId="0" fillId="0" borderId="1" xfId="0" applyNumberForma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right" vertical="center"/>
    </xf>
    <xf numFmtId="164" fontId="0" fillId="0" borderId="1" xfId="0" applyNumberFormat="1" applyFill="1" applyBorder="1" applyAlignment="1">
      <alignment vertical="center"/>
    </xf>
    <xf numFmtId="167" fontId="0" fillId="0" borderId="1" xfId="0" applyNumberForma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165" fontId="0" fillId="0" borderId="11" xfId="0" applyNumberFormat="1" applyFill="1" applyBorder="1" applyAlignment="1">
      <alignment vertical="center"/>
    </xf>
    <xf numFmtId="164" fontId="0" fillId="0" borderId="11" xfId="0" applyNumberFormat="1" applyFill="1" applyBorder="1" applyAlignment="1">
      <alignment vertical="center"/>
    </xf>
    <xf numFmtId="167" fontId="0" fillId="0" borderId="11" xfId="0" applyNumberForma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12" xfId="0" applyFont="1" applyFill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/>
    </xf>
    <xf numFmtId="164" fontId="2" fillId="0" borderId="9" xfId="1" applyNumberFormat="1" applyFont="1" applyFill="1" applyBorder="1" applyAlignment="1">
      <alignment vertical="center"/>
    </xf>
    <xf numFmtId="169" fontId="2" fillId="0" borderId="9" xfId="1" applyNumberFormat="1" applyFont="1" applyFill="1" applyBorder="1" applyAlignment="1">
      <alignment vertical="center"/>
    </xf>
    <xf numFmtId="170" fontId="0" fillId="0" borderId="0" xfId="0" applyNumberForma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3" borderId="14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16" xfId="0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17" xfId="0" applyFill="1" applyBorder="1"/>
    <xf numFmtId="0" fontId="0" fillId="3" borderId="12" xfId="0" applyFill="1" applyBorder="1"/>
    <xf numFmtId="0" fontId="0" fillId="3" borderId="13" xfId="0" applyFill="1" applyBorder="1"/>
    <xf numFmtId="0" fontId="20" fillId="0" borderId="1" xfId="2" applyFont="1" applyBorder="1" applyAlignment="1">
      <alignment horizontal="center" vertical="center"/>
    </xf>
    <xf numFmtId="0" fontId="0" fillId="3" borderId="0" xfId="0" applyFill="1"/>
    <xf numFmtId="0" fontId="0" fillId="0" borderId="0" xfId="0" applyAlignment="1" applyProtection="1">
      <alignment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6" fontId="1" fillId="2" borderId="1" xfId="0" applyNumberFormat="1" applyFont="1" applyFill="1" applyBorder="1" applyAlignment="1" applyProtection="1">
      <alignment horizontal="center" vertical="center"/>
      <protection locked="0"/>
    </xf>
    <xf numFmtId="166" fontId="1" fillId="2" borderId="11" xfId="0" applyNumberFormat="1" applyFont="1" applyFill="1" applyBorder="1" applyAlignment="1" applyProtection="1">
      <alignment horizontal="center" vertical="center"/>
      <protection locked="0"/>
    </xf>
    <xf numFmtId="166" fontId="1" fillId="2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vertical="center"/>
    </xf>
    <xf numFmtId="164" fontId="0" fillId="0" borderId="1" xfId="0" applyNumberFormat="1" applyBorder="1" applyAlignment="1" applyProtection="1">
      <alignment horizontal="right" vertical="center"/>
    </xf>
    <xf numFmtId="165" fontId="0" fillId="0" borderId="1" xfId="0" applyNumberFormat="1" applyBorder="1" applyAlignment="1" applyProtection="1">
      <alignment vertical="center"/>
    </xf>
    <xf numFmtId="164" fontId="14" fillId="0" borderId="1" xfId="0" applyNumberFormat="1" applyFont="1" applyBorder="1" applyAlignment="1" applyProtection="1">
      <alignment horizontal="right" vertical="center"/>
    </xf>
    <xf numFmtId="165" fontId="14" fillId="0" borderId="1" xfId="0" applyNumberFormat="1" applyFont="1" applyBorder="1" applyAlignment="1" applyProtection="1">
      <alignment vertical="center"/>
    </xf>
    <xf numFmtId="164" fontId="0" fillId="0" borderId="1" xfId="0" applyNumberFormat="1" applyBorder="1" applyAlignment="1" applyProtection="1">
      <alignment vertical="center"/>
    </xf>
    <xf numFmtId="167" fontId="0" fillId="0" borderId="1" xfId="0" applyNumberFormat="1" applyBorder="1" applyAlignment="1" applyProtection="1">
      <alignment vertical="center"/>
    </xf>
    <xf numFmtId="165" fontId="0" fillId="0" borderId="11" xfId="0" applyNumberFormat="1" applyBorder="1" applyAlignment="1" applyProtection="1">
      <alignment vertical="center"/>
    </xf>
    <xf numFmtId="164" fontId="0" fillId="0" borderId="11" xfId="0" applyNumberFormat="1" applyBorder="1" applyAlignment="1" applyProtection="1">
      <alignment vertical="center"/>
    </xf>
    <xf numFmtId="167" fontId="0" fillId="0" borderId="11" xfId="0" applyNumberFormat="1" applyBorder="1" applyAlignment="1" applyProtection="1">
      <alignment vertical="center"/>
    </xf>
    <xf numFmtId="165" fontId="2" fillId="0" borderId="9" xfId="1" applyNumberFormat="1" applyFont="1" applyFill="1" applyBorder="1" applyAlignment="1" applyProtection="1">
      <alignment vertical="center"/>
    </xf>
    <xf numFmtId="165" fontId="2" fillId="0" borderId="9" xfId="0" applyNumberFormat="1" applyFont="1" applyFill="1" applyBorder="1" applyAlignment="1" applyProtection="1">
      <alignment horizontal="right" vertical="center"/>
    </xf>
    <xf numFmtId="164" fontId="2" fillId="0" borderId="9" xfId="0" applyNumberFormat="1" applyFont="1" applyFill="1" applyBorder="1" applyAlignment="1" applyProtection="1">
      <alignment horizontal="right" vertical="center"/>
    </xf>
    <xf numFmtId="165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2" xfId="0" applyBorder="1" applyAlignment="1">
      <alignment vertical="center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right" vertical="center"/>
    </xf>
    <xf numFmtId="166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right" vertical="center" wrapText="1"/>
      <protection locked="0"/>
    </xf>
    <xf numFmtId="166" fontId="1" fillId="2" borderId="1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65" fontId="0" fillId="0" borderId="9" xfId="0" applyNumberFormat="1" applyBorder="1" applyAlignment="1" applyProtection="1">
      <alignment vertical="center"/>
    </xf>
    <xf numFmtId="165" fontId="0" fillId="0" borderId="15" xfId="0" applyNumberFormat="1" applyBorder="1" applyAlignment="1" applyProtection="1">
      <alignment vertical="center"/>
    </xf>
    <xf numFmtId="0" fontId="2" fillId="4" borderId="3" xfId="0" applyFont="1" applyFill="1" applyBorder="1" applyAlignment="1">
      <alignment horizontal="right" vertical="center"/>
    </xf>
    <xf numFmtId="0" fontId="2" fillId="4" borderId="24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right" vertical="center" wrapText="1" shrinkToFit="1"/>
    </xf>
    <xf numFmtId="0" fontId="2" fillId="4" borderId="18" xfId="0" applyFont="1" applyFill="1" applyBorder="1" applyAlignment="1">
      <alignment horizontal="right" vertical="center" wrapText="1"/>
    </xf>
    <xf numFmtId="166" fontId="1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8" fillId="0" borderId="16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1" fillId="0" borderId="3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6" fillId="0" borderId="3" xfId="0" applyFont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horizontal="right" vertical="center"/>
    </xf>
    <xf numFmtId="169" fontId="2" fillId="0" borderId="9" xfId="0" applyNumberFormat="1" applyFont="1" applyFill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17" fillId="0" borderId="7" xfId="0" applyFont="1" applyFill="1" applyBorder="1" applyAlignment="1" applyProtection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10" fillId="0" borderId="12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20" fillId="0" borderId="1" xfId="2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 wrapText="1"/>
    </xf>
    <xf numFmtId="0" fontId="17" fillId="0" borderId="4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7" fillId="0" borderId="2" xfId="0" applyFont="1" applyFill="1" applyBorder="1" applyAlignment="1" applyProtection="1">
      <alignment horizontal="left" vertical="center"/>
    </xf>
    <xf numFmtId="0" fontId="17" fillId="0" borderId="8" xfId="0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17" fillId="0" borderId="16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/>
    </xf>
    <xf numFmtId="0" fontId="17" fillId="0" borderId="7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</cellXfs>
  <cellStyles count="3">
    <cellStyle name="Гиперссылка" xfId="2" builtinId="8"/>
    <cellStyle name="Обычный" xfId="0" builtinId="0"/>
    <cellStyle name="Обычный 7" xfId="1"/>
  </cellStyles>
  <dxfs count="40"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color theme="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0"/>
      </font>
    </dxf>
    <dxf>
      <font>
        <b/>
        <i val="0"/>
        <color rgb="FFC0000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C0000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strike/>
        <u val="none"/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C00000"/>
      </font>
    </dxf>
    <dxf>
      <fill>
        <patternFill patternType="none">
          <bgColor auto="1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b/>
        <i val="0"/>
        <color rgb="FFC00000"/>
      </font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008A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055;&#1086;&#1076;&#1074;&#1077;&#1089;&#1085;&#1072;&#1103;!A1"/><Relationship Id="rId2" Type="http://schemas.openxmlformats.org/officeDocument/2006/relationships/hyperlink" Target="#&#1056;&#1072;&#1089;&#1087;&#1072;&#1096;&#1085;&#1072;&#1103;!A1"/><Relationship Id="rId1" Type="http://schemas.openxmlformats.org/officeDocument/2006/relationships/hyperlink" Target="#&#1057;&#1090;&#1072;&#1094;&#1080;&#1086;&#1085;&#1072;&#1088;&#1085;&#1072;&#1103;!A1"/><Relationship Id="rId5" Type="http://schemas.openxmlformats.org/officeDocument/2006/relationships/hyperlink" Target="#&#1057;&#1082;&#1083;&#1072;&#1076;&#1085;&#1072;&#1103;!A1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215352</xdr:colOff>
      <xdr:row>9</xdr:row>
      <xdr:rowOff>109782</xdr:rowOff>
    </xdr:from>
    <xdr:ext cx="2980668" cy="342786"/>
    <xdr:sp macro="" textlink="">
      <xdr:nvSpPr>
        <xdr:cNvPr id="11" name="Прямоугольник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396452" y="1824282"/>
          <a:ext cx="2980668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r"/>
          <a:r>
            <a:rPr lang="ru-RU" sz="16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СТАЦИОНАРНАЯ ПЕРЕГОРОДКА</a:t>
          </a:r>
        </a:p>
      </xdr:txBody>
    </xdr:sp>
    <xdr:clientData/>
  </xdr:oneCellAnchor>
  <xdr:oneCellAnchor>
    <xdr:from>
      <xdr:col>2</xdr:col>
      <xdr:colOff>223291</xdr:colOff>
      <xdr:row>7</xdr:row>
      <xdr:rowOff>94518</xdr:rowOff>
    </xdr:from>
    <xdr:ext cx="2980668" cy="342786"/>
    <xdr:sp macro="" textlink="">
      <xdr:nvSpPr>
        <xdr:cNvPr id="12" name="Прямоугольник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404391" y="1428018"/>
          <a:ext cx="2980668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r"/>
          <a:r>
            <a:rPr lang="ru-RU" sz="16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РАСПАШНАЯ</a:t>
          </a:r>
          <a:r>
            <a:rPr lang="ru-RU" sz="16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 ПЕРЕГОРОДКА</a:t>
          </a:r>
          <a:endParaRPr lang="ru-RU" sz="16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rgbClr val="92D050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</xdr:col>
      <xdr:colOff>223228</xdr:colOff>
      <xdr:row>5</xdr:row>
      <xdr:rowOff>79252</xdr:rowOff>
    </xdr:from>
    <xdr:ext cx="2982057" cy="342786"/>
    <xdr:sp macro="" textlink="">
      <xdr:nvSpPr>
        <xdr:cNvPr id="13" name="Прямоугольник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04328" y="1031752"/>
          <a:ext cx="2982057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r"/>
          <a:r>
            <a:rPr lang="ru-RU" sz="16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ПОДВЕСНАЯ ПЕРЕГОРОДКА</a:t>
          </a:r>
        </a:p>
      </xdr:txBody>
    </xdr:sp>
    <xdr:clientData/>
  </xdr:oneCellAnchor>
  <xdr:twoCellAnchor editAs="oneCell">
    <xdr:from>
      <xdr:col>8</xdr:col>
      <xdr:colOff>376167</xdr:colOff>
      <xdr:row>0</xdr:row>
      <xdr:rowOff>51420</xdr:rowOff>
    </xdr:from>
    <xdr:to>
      <xdr:col>9</xdr:col>
      <xdr:colOff>564171</xdr:colOff>
      <xdr:row>2</xdr:row>
      <xdr:rowOff>139212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49379" y="249247"/>
          <a:ext cx="796139" cy="468792"/>
        </a:xfrm>
        <a:prstGeom prst="rect">
          <a:avLst/>
        </a:prstGeom>
      </xdr:spPr>
    </xdr:pic>
    <xdr:clientData/>
  </xdr:twoCellAnchor>
  <xdr:oneCellAnchor>
    <xdr:from>
      <xdr:col>2</xdr:col>
      <xdr:colOff>216347</xdr:colOff>
      <xdr:row>11</xdr:row>
      <xdr:rowOff>124296</xdr:rowOff>
    </xdr:from>
    <xdr:ext cx="2980668" cy="342786"/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97447" y="2219796"/>
          <a:ext cx="2980668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СКЛАДНАЯ</a:t>
          </a:r>
          <a:r>
            <a:rPr lang="ru-RU" sz="16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solidFill>
                <a:srgbClr val="92D050"/>
              </a:solidFill>
              <a:effectLst>
                <a:outerShdw blurRad="50800" algn="tl" rotWithShape="0">
                  <a:srgbClr val="000000"/>
                </a:outerShdw>
              </a:effectLst>
            </a:rPr>
            <a:t> ПЕРЕГОРОДКА</a:t>
          </a:r>
          <a:endParaRPr lang="ru-RU" sz="16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solidFill>
              <a:srgbClr val="92D050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14654</xdr:colOff>
      <xdr:row>26</xdr:row>
      <xdr:rowOff>0</xdr:rowOff>
    </xdr:from>
    <xdr:to>
      <xdr:col>13</xdr:col>
      <xdr:colOff>60082</xdr:colOff>
      <xdr:row>29</xdr:row>
      <xdr:rowOff>29307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4942" y="3817327"/>
          <a:ext cx="7532077" cy="600807"/>
        </a:xfrm>
        <a:prstGeom prst="rect">
          <a:avLst/>
        </a:prstGeom>
      </xdr:spPr>
    </xdr:pic>
    <xdr:clientData/>
  </xdr:twoCellAnchor>
  <xdr:twoCellAnchor editAs="oneCell">
    <xdr:from>
      <xdr:col>12</xdr:col>
      <xdr:colOff>542191</xdr:colOff>
      <xdr:row>26</xdr:row>
      <xdr:rowOff>43963</xdr:rowOff>
    </xdr:from>
    <xdr:to>
      <xdr:col>13</xdr:col>
      <xdr:colOff>640152</xdr:colOff>
      <xdr:row>28</xdr:row>
      <xdr:rowOff>156358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13729" y="3861290"/>
          <a:ext cx="830653" cy="493395"/>
        </a:xfrm>
        <a:prstGeom prst="rect">
          <a:avLst/>
        </a:prstGeom>
      </xdr:spPr>
    </xdr:pic>
    <xdr:clientData/>
  </xdr:twoCellAnchor>
  <xdr:twoCellAnchor editAs="oneCell">
    <xdr:from>
      <xdr:col>1</xdr:col>
      <xdr:colOff>161192</xdr:colOff>
      <xdr:row>26</xdr:row>
      <xdr:rowOff>0</xdr:rowOff>
    </xdr:from>
    <xdr:to>
      <xdr:col>3</xdr:col>
      <xdr:colOff>540550</xdr:colOff>
      <xdr:row>28</xdr:row>
      <xdr:rowOff>188198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192" y="3802674"/>
          <a:ext cx="3150000" cy="567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12674</xdr:colOff>
      <xdr:row>19</xdr:row>
      <xdr:rowOff>35944</xdr:rowOff>
    </xdr:from>
    <xdr:to>
      <xdr:col>13</xdr:col>
      <xdr:colOff>652971</xdr:colOff>
      <xdr:row>22</xdr:row>
      <xdr:rowOff>65251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9466" y="3684199"/>
          <a:ext cx="7343742" cy="604401"/>
        </a:xfrm>
        <a:prstGeom prst="rect">
          <a:avLst/>
        </a:prstGeom>
      </xdr:spPr>
    </xdr:pic>
    <xdr:clientData/>
  </xdr:twoCellAnchor>
  <xdr:twoCellAnchor editAs="oneCell">
    <xdr:from>
      <xdr:col>12</xdr:col>
      <xdr:colOff>333334</xdr:colOff>
      <xdr:row>19</xdr:row>
      <xdr:rowOff>56588</xdr:rowOff>
    </xdr:from>
    <xdr:to>
      <xdr:col>13</xdr:col>
      <xdr:colOff>629121</xdr:colOff>
      <xdr:row>21</xdr:row>
      <xdr:rowOff>168983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0409" y="3704843"/>
          <a:ext cx="828949" cy="495791"/>
        </a:xfrm>
        <a:prstGeom prst="rect">
          <a:avLst/>
        </a:prstGeom>
      </xdr:spPr>
    </xdr:pic>
    <xdr:clientData/>
  </xdr:twoCellAnchor>
  <xdr:twoCellAnchor editAs="oneCell">
    <xdr:from>
      <xdr:col>1</xdr:col>
      <xdr:colOff>90596</xdr:colOff>
      <xdr:row>18</xdr:row>
      <xdr:rowOff>181054</xdr:rowOff>
    </xdr:from>
    <xdr:to>
      <xdr:col>4</xdr:col>
      <xdr:colOff>588251</xdr:colOff>
      <xdr:row>21</xdr:row>
      <xdr:rowOff>170563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596" y="3631620"/>
          <a:ext cx="3145484" cy="570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7328</xdr:colOff>
      <xdr:row>21</xdr:row>
      <xdr:rowOff>0</xdr:rowOff>
    </xdr:from>
    <xdr:to>
      <xdr:col>13</xdr:col>
      <xdr:colOff>666750</xdr:colOff>
      <xdr:row>24</xdr:row>
      <xdr:rowOff>29307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9097" y="4007827"/>
          <a:ext cx="7583366" cy="600807"/>
        </a:xfrm>
        <a:prstGeom prst="rect">
          <a:avLst/>
        </a:prstGeom>
      </xdr:spPr>
    </xdr:pic>
    <xdr:clientData/>
  </xdr:twoCellAnchor>
  <xdr:twoCellAnchor editAs="oneCell">
    <xdr:from>
      <xdr:col>12</xdr:col>
      <xdr:colOff>549520</xdr:colOff>
      <xdr:row>21</xdr:row>
      <xdr:rowOff>21981</xdr:rowOff>
    </xdr:from>
    <xdr:to>
      <xdr:col>13</xdr:col>
      <xdr:colOff>647479</xdr:colOff>
      <xdr:row>23</xdr:row>
      <xdr:rowOff>134376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52539" y="4029808"/>
          <a:ext cx="830653" cy="493395"/>
        </a:xfrm>
        <a:prstGeom prst="rect">
          <a:avLst/>
        </a:prstGeom>
      </xdr:spPr>
    </xdr:pic>
    <xdr:clientData/>
  </xdr:twoCellAnchor>
  <xdr:twoCellAnchor editAs="oneCell">
    <xdr:from>
      <xdr:col>1</xdr:col>
      <xdr:colOff>124558</xdr:colOff>
      <xdr:row>20</xdr:row>
      <xdr:rowOff>190501</xdr:rowOff>
    </xdr:from>
    <xdr:to>
      <xdr:col>4</xdr:col>
      <xdr:colOff>603657</xdr:colOff>
      <xdr:row>23</xdr:row>
      <xdr:rowOff>178674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558" y="4000501"/>
          <a:ext cx="3150000" cy="567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60612</xdr:colOff>
      <xdr:row>21</xdr:row>
      <xdr:rowOff>187171</xdr:rowOff>
    </xdr:from>
    <xdr:to>
      <xdr:col>14</xdr:col>
      <xdr:colOff>18650</xdr:colOff>
      <xdr:row>24</xdr:row>
      <xdr:rowOff>183173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1593" y="4173017"/>
          <a:ext cx="7805172" cy="574829"/>
        </a:xfrm>
        <a:prstGeom prst="rect">
          <a:avLst/>
        </a:prstGeom>
      </xdr:spPr>
    </xdr:pic>
    <xdr:clientData/>
  </xdr:twoCellAnchor>
  <xdr:twoCellAnchor editAs="oneCell">
    <xdr:from>
      <xdr:col>12</xdr:col>
      <xdr:colOff>624384</xdr:colOff>
      <xdr:row>22</xdr:row>
      <xdr:rowOff>3998</xdr:rowOff>
    </xdr:from>
    <xdr:to>
      <xdr:col>13</xdr:col>
      <xdr:colOff>689705</xdr:colOff>
      <xdr:row>24</xdr:row>
      <xdr:rowOff>116393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57115" y="4187671"/>
          <a:ext cx="834648" cy="493395"/>
        </a:xfrm>
        <a:prstGeom prst="rect">
          <a:avLst/>
        </a:prstGeom>
      </xdr:spPr>
    </xdr:pic>
    <xdr:clientData/>
  </xdr:twoCellAnchor>
  <xdr:twoCellAnchor editAs="oneCell">
    <xdr:from>
      <xdr:col>1</xdr:col>
      <xdr:colOff>146538</xdr:colOff>
      <xdr:row>22</xdr:row>
      <xdr:rowOff>69276</xdr:rowOff>
    </xdr:from>
    <xdr:to>
      <xdr:col>4</xdr:col>
      <xdr:colOff>563787</xdr:colOff>
      <xdr:row>25</xdr:row>
      <xdr:rowOff>64776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5811" y="4260276"/>
          <a:ext cx="3144862" cy="56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  <pageSetUpPr fitToPage="1"/>
  </sheetPr>
  <dimension ref="A1:K19"/>
  <sheetViews>
    <sheetView tabSelected="1" zoomScaleNormal="100" zoomScalePageLayoutView="120" workbookViewId="0">
      <selection activeCell="L1" sqref="L1"/>
    </sheetView>
  </sheetViews>
  <sheetFormatPr defaultColWidth="8.85546875" defaultRowHeight="15" x14ac:dyDescent="0.25"/>
  <cols>
    <col min="11" max="11" width="1.85546875" customWidth="1"/>
  </cols>
  <sheetData>
    <row r="1" spans="1:11" x14ac:dyDescent="0.25">
      <c r="A1" s="66"/>
      <c r="B1" s="67"/>
      <c r="C1" s="67"/>
      <c r="D1" s="67"/>
      <c r="E1" s="67"/>
      <c r="F1" s="67"/>
      <c r="G1" s="67"/>
      <c r="H1" s="67"/>
      <c r="I1" s="67"/>
      <c r="J1" s="68"/>
      <c r="K1" s="76"/>
    </row>
    <row r="2" spans="1:11" x14ac:dyDescent="0.25">
      <c r="A2" s="69"/>
      <c r="B2" s="70"/>
      <c r="C2" s="70"/>
      <c r="D2" s="70"/>
      <c r="E2" s="70"/>
      <c r="F2" s="70"/>
      <c r="G2" s="70"/>
      <c r="H2" s="70"/>
      <c r="I2" s="70"/>
      <c r="J2" s="71"/>
      <c r="K2" s="76"/>
    </row>
    <row r="3" spans="1:11" x14ac:dyDescent="0.25">
      <c r="A3" s="69"/>
      <c r="B3" s="70"/>
      <c r="C3" s="70"/>
      <c r="D3" s="70"/>
      <c r="E3" s="70"/>
      <c r="F3" s="70"/>
      <c r="G3" s="70"/>
      <c r="H3" s="70"/>
      <c r="I3" s="70"/>
      <c r="J3" s="71"/>
      <c r="K3" s="76"/>
    </row>
    <row r="4" spans="1:11" x14ac:dyDescent="0.25">
      <c r="A4" s="69"/>
      <c r="B4" s="70"/>
      <c r="C4" s="70"/>
      <c r="D4" s="70"/>
      <c r="E4" s="70"/>
      <c r="F4" s="70"/>
      <c r="G4" s="70"/>
      <c r="H4" s="70"/>
      <c r="I4" s="70"/>
      <c r="J4" s="71"/>
      <c r="K4" s="76"/>
    </row>
    <row r="5" spans="1:11" x14ac:dyDescent="0.25">
      <c r="A5" s="69"/>
      <c r="B5" s="70"/>
      <c r="C5" s="70"/>
      <c r="D5" s="70"/>
      <c r="E5" s="70"/>
      <c r="F5" s="70"/>
      <c r="G5" s="70"/>
      <c r="H5" s="70"/>
      <c r="I5" s="70"/>
      <c r="J5" s="71"/>
      <c r="K5" s="76"/>
    </row>
    <row r="6" spans="1:11" x14ac:dyDescent="0.25">
      <c r="A6" s="69"/>
      <c r="B6" s="70"/>
      <c r="C6" s="70"/>
      <c r="D6" s="70"/>
      <c r="E6" s="70"/>
      <c r="F6" s="70"/>
      <c r="G6" s="70"/>
      <c r="H6" s="70"/>
      <c r="I6" s="70"/>
      <c r="J6" s="71"/>
      <c r="K6" s="76"/>
    </row>
    <row r="7" spans="1:11" x14ac:dyDescent="0.25">
      <c r="A7" s="69"/>
      <c r="B7" s="70"/>
      <c r="C7" s="70"/>
      <c r="D7" s="70"/>
      <c r="E7" s="70"/>
      <c r="F7" s="70"/>
      <c r="G7" s="70"/>
      <c r="H7" s="70"/>
      <c r="I7" s="70"/>
      <c r="J7" s="71"/>
      <c r="K7" s="76"/>
    </row>
    <row r="8" spans="1:11" x14ac:dyDescent="0.25">
      <c r="A8" s="69"/>
      <c r="B8" s="70"/>
      <c r="C8" s="70"/>
      <c r="D8" s="70"/>
      <c r="E8" s="70"/>
      <c r="F8" s="70"/>
      <c r="G8" s="70"/>
      <c r="H8" s="70"/>
      <c r="I8" s="70"/>
      <c r="J8" s="71"/>
      <c r="K8" s="76"/>
    </row>
    <row r="9" spans="1:11" x14ac:dyDescent="0.25">
      <c r="A9" s="69"/>
      <c r="B9" s="70"/>
      <c r="C9" s="70"/>
      <c r="D9" s="70"/>
      <c r="E9" s="70"/>
      <c r="F9" s="70"/>
      <c r="G9" s="70"/>
      <c r="H9" s="70"/>
      <c r="I9" s="70"/>
      <c r="J9" s="71"/>
      <c r="K9" s="76"/>
    </row>
    <row r="10" spans="1:11" x14ac:dyDescent="0.25">
      <c r="A10" s="69"/>
      <c r="B10" s="70"/>
      <c r="C10" s="70"/>
      <c r="D10" s="70"/>
      <c r="E10" s="70"/>
      <c r="F10" s="70"/>
      <c r="G10" s="70"/>
      <c r="H10" s="70"/>
      <c r="I10" s="70"/>
      <c r="J10" s="71"/>
      <c r="K10" s="76"/>
    </row>
    <row r="11" spans="1:11" x14ac:dyDescent="0.25">
      <c r="A11" s="69"/>
      <c r="B11" s="70"/>
      <c r="C11" s="70"/>
      <c r="D11" s="70"/>
      <c r="E11" s="70"/>
      <c r="F11" s="70"/>
      <c r="G11" s="70"/>
      <c r="H11" s="70"/>
      <c r="I11" s="70"/>
      <c r="J11" s="71"/>
      <c r="K11" s="76"/>
    </row>
    <row r="12" spans="1:11" x14ac:dyDescent="0.25">
      <c r="A12" s="69"/>
      <c r="B12" s="70"/>
      <c r="C12" s="70"/>
      <c r="D12" s="70"/>
      <c r="E12" s="70"/>
      <c r="F12" s="70"/>
      <c r="G12" s="70"/>
      <c r="H12" s="70"/>
      <c r="I12" s="70"/>
      <c r="J12" s="71"/>
      <c r="K12" s="76"/>
    </row>
    <row r="13" spans="1:11" x14ac:dyDescent="0.25">
      <c r="A13" s="69"/>
      <c r="B13" s="70"/>
      <c r="C13" s="70"/>
      <c r="D13" s="70"/>
      <c r="E13" s="70"/>
      <c r="F13" s="70"/>
      <c r="G13" s="70"/>
      <c r="H13" s="70"/>
      <c r="I13" s="70"/>
      <c r="J13" s="71"/>
      <c r="K13" s="76"/>
    </row>
    <row r="14" spans="1:11" x14ac:dyDescent="0.25">
      <c r="A14" s="69"/>
      <c r="B14" s="70"/>
      <c r="C14" s="70"/>
      <c r="D14" s="70"/>
      <c r="E14" s="70"/>
      <c r="F14" s="70"/>
      <c r="G14" s="70"/>
      <c r="H14" s="70"/>
      <c r="I14" s="70"/>
      <c r="J14" s="71"/>
      <c r="K14" s="76"/>
    </row>
    <row r="15" spans="1:11" x14ac:dyDescent="0.25">
      <c r="A15" s="69"/>
      <c r="B15" s="70"/>
      <c r="C15" s="70"/>
      <c r="D15" s="70"/>
      <c r="E15" s="70"/>
      <c r="F15" s="70"/>
      <c r="G15" s="70"/>
      <c r="H15" s="70"/>
      <c r="I15" s="70"/>
      <c r="J15" s="71"/>
      <c r="K15" s="76"/>
    </row>
    <row r="16" spans="1:11" ht="15.75" thickBot="1" x14ac:dyDescent="0.3">
      <c r="A16" s="72"/>
      <c r="B16" s="73"/>
      <c r="C16" s="73"/>
      <c r="D16" s="73"/>
      <c r="E16" s="73"/>
      <c r="F16" s="73"/>
      <c r="G16" s="73"/>
      <c r="H16" s="73"/>
      <c r="I16" s="73"/>
      <c r="J16" s="74"/>
      <c r="K16" s="76"/>
    </row>
    <row r="17" spans="1:11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</row>
    <row r="18" spans="1:11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</row>
    <row r="19" spans="1:11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</row>
  </sheetData>
  <sheetProtection password="CC59"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theme="1"/>
    <pageSetUpPr fitToPage="1"/>
  </sheetPr>
  <dimension ref="A1:N31"/>
  <sheetViews>
    <sheetView zoomScaleNormal="100" zoomScalePageLayoutView="125" workbookViewId="0">
      <selection activeCell="C6" sqref="C6"/>
    </sheetView>
  </sheetViews>
  <sheetFormatPr defaultColWidth="8.85546875" defaultRowHeight="15" x14ac:dyDescent="0.25"/>
  <cols>
    <col min="1" max="1" width="1.7109375" style="1" customWidth="1"/>
    <col min="2" max="2" width="30.5703125" style="1" customWidth="1"/>
    <col min="3" max="3" width="10.85546875" style="1" bestFit="1" customWidth="1"/>
    <col min="4" max="4" width="9.85546875" style="1" bestFit="1" customWidth="1"/>
    <col min="5" max="5" width="12.42578125" style="1" customWidth="1"/>
    <col min="6" max="6" width="0.85546875" style="1" customWidth="1"/>
    <col min="7" max="7" width="20.42578125" style="1" bestFit="1" customWidth="1"/>
    <col min="8" max="8" width="9.85546875" style="1" bestFit="1" customWidth="1"/>
    <col min="9" max="9" width="9.7109375" style="1" bestFit="1" customWidth="1"/>
    <col min="10" max="10" width="11.28515625" style="1" bestFit="1" customWidth="1"/>
    <col min="11" max="11" width="1.140625" style="25" customWidth="1"/>
    <col min="12" max="12" width="47.7109375" style="1" customWidth="1"/>
    <col min="13" max="13" width="11" style="1" bestFit="1" customWidth="1"/>
    <col min="14" max="14" width="10.42578125" style="1" bestFit="1" customWidth="1"/>
    <col min="15" max="16384" width="8.85546875" style="1"/>
  </cols>
  <sheetData>
    <row r="1" spans="1:14" ht="19.5" thickBot="1" x14ac:dyDescent="0.3">
      <c r="A1" s="77"/>
      <c r="B1" s="177" t="s">
        <v>87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14" s="57" customFormat="1" x14ac:dyDescent="0.25">
      <c r="B2" s="178" t="s">
        <v>108</v>
      </c>
      <c r="C2" s="179"/>
      <c r="D2" s="179"/>
      <c r="E2" s="180"/>
      <c r="G2" s="178" t="s">
        <v>109</v>
      </c>
      <c r="H2" s="179"/>
      <c r="I2" s="179"/>
      <c r="J2" s="179"/>
      <c r="K2" s="179"/>
      <c r="L2" s="179"/>
      <c r="M2" s="179"/>
      <c r="N2" s="180"/>
    </row>
    <row r="3" spans="1:14" ht="4.5" customHeight="1" x14ac:dyDescent="0.25">
      <c r="B3" s="51"/>
      <c r="C3" s="52"/>
      <c r="D3" s="52"/>
      <c r="E3" s="53"/>
      <c r="F3" s="25"/>
      <c r="G3" s="51"/>
      <c r="H3" s="52"/>
      <c r="I3" s="52"/>
      <c r="J3" s="52"/>
      <c r="K3" s="52"/>
      <c r="L3" s="52"/>
      <c r="M3" s="52"/>
      <c r="N3" s="53"/>
    </row>
    <row r="4" spans="1:14" s="58" customFormat="1" ht="15.75" x14ac:dyDescent="0.25">
      <c r="B4" s="181" t="s">
        <v>33</v>
      </c>
      <c r="C4" s="182"/>
      <c r="D4" s="55"/>
      <c r="E4" s="56"/>
      <c r="G4" s="183" t="s">
        <v>51</v>
      </c>
      <c r="H4" s="175"/>
      <c r="I4" s="55"/>
      <c r="J4" s="55"/>
      <c r="K4" s="55"/>
      <c r="L4" s="55"/>
      <c r="M4" s="65"/>
      <c r="N4" s="56"/>
    </row>
    <row r="5" spans="1:14" x14ac:dyDescent="0.25">
      <c r="B5" s="13" t="s">
        <v>15</v>
      </c>
      <c r="C5" s="21" t="s">
        <v>38</v>
      </c>
      <c r="D5" s="184" t="s">
        <v>41</v>
      </c>
      <c r="E5" s="185"/>
      <c r="G5" s="13" t="s">
        <v>5</v>
      </c>
      <c r="H5" s="118" t="s">
        <v>38</v>
      </c>
      <c r="I5" s="29"/>
      <c r="J5" s="29"/>
      <c r="K5" s="29"/>
      <c r="L5" s="29"/>
      <c r="M5" s="29"/>
      <c r="N5" s="30"/>
    </row>
    <row r="6" spans="1:14" ht="15.75" x14ac:dyDescent="0.25">
      <c r="B6" s="19" t="s">
        <v>0</v>
      </c>
      <c r="C6" s="78">
        <v>0</v>
      </c>
      <c r="D6" s="188" t="str">
        <f>IF(OR(H6&gt;1200,H6&lt;600),"не рекомендуем","допустимо")</f>
        <v>не рекомендуем</v>
      </c>
      <c r="E6" s="189"/>
      <c r="G6" s="14" t="s">
        <v>89</v>
      </c>
      <c r="H6" s="9">
        <f>IF(C9=1,C6+39,IF(C10=1,C6/2+39,IF(AND(C11=1,C17=1),(C6+29.5)/2,IF(AND(C11=1,C17=0),(C6+39)/2,IF(C12=1,(C6+39+39)/4,IF(AND(C13=1,C17=0,C14&gt;1),(C6+53+(C14-1)*39)/C14,IF(AND(C13=1,C17=1,C14&gt;1),(C6+43+(C14-1)*39)/C14,0)))))))</f>
        <v>0</v>
      </c>
      <c r="I6" s="99"/>
      <c r="J6" s="99"/>
      <c r="K6" s="29"/>
      <c r="L6" s="29"/>
      <c r="M6" s="29"/>
      <c r="N6" s="30"/>
    </row>
    <row r="7" spans="1:14" ht="15.75" x14ac:dyDescent="0.25">
      <c r="B7" s="19" t="s">
        <v>1</v>
      </c>
      <c r="C7" s="78">
        <v>0</v>
      </c>
      <c r="D7" s="188" t="str">
        <f>IF(C7&gt;2660,"не рекомендуем","допустимо")</f>
        <v>допустимо</v>
      </c>
      <c r="E7" s="189"/>
      <c r="G7" s="14" t="s">
        <v>88</v>
      </c>
      <c r="H7" s="9">
        <f>I10</f>
        <v>-60</v>
      </c>
      <c r="I7" s="29"/>
      <c r="J7" s="29"/>
      <c r="K7" s="29"/>
      <c r="L7" s="29"/>
      <c r="M7" s="29"/>
      <c r="N7" s="30"/>
    </row>
    <row r="8" spans="1:14" ht="15.75" x14ac:dyDescent="0.25">
      <c r="B8" s="19" t="s">
        <v>2</v>
      </c>
      <c r="C8" s="79">
        <v>0</v>
      </c>
      <c r="D8" s="163" t="s">
        <v>32</v>
      </c>
      <c r="E8" s="164"/>
      <c r="G8" s="183" t="s">
        <v>100</v>
      </c>
      <c r="H8" s="175"/>
      <c r="I8" s="175"/>
      <c r="J8" s="175"/>
      <c r="K8" s="55"/>
      <c r="L8" s="175" t="s">
        <v>101</v>
      </c>
      <c r="M8" s="175"/>
      <c r="N8" s="176"/>
    </row>
    <row r="9" spans="1:14" x14ac:dyDescent="0.25">
      <c r="B9" s="114" t="s">
        <v>126</v>
      </c>
      <c r="C9" s="80">
        <v>0</v>
      </c>
      <c r="D9" s="163" t="s">
        <v>42</v>
      </c>
      <c r="E9" s="164"/>
      <c r="G9" s="13" t="s">
        <v>5</v>
      </c>
      <c r="H9" s="118" t="s">
        <v>6</v>
      </c>
      <c r="I9" s="118" t="s">
        <v>22</v>
      </c>
      <c r="J9" s="118" t="s">
        <v>24</v>
      </c>
      <c r="K9" s="54"/>
      <c r="L9" s="118" t="s">
        <v>5</v>
      </c>
      <c r="M9" s="118" t="s">
        <v>6</v>
      </c>
      <c r="N9" s="119" t="s">
        <v>23</v>
      </c>
    </row>
    <row r="10" spans="1:14" x14ac:dyDescent="0.25">
      <c r="B10" s="114" t="s">
        <v>127</v>
      </c>
      <c r="C10" s="80">
        <v>0</v>
      </c>
      <c r="D10" s="163" t="s">
        <v>42</v>
      </c>
      <c r="E10" s="164"/>
      <c r="G10" s="11" t="s">
        <v>7</v>
      </c>
      <c r="H10" s="6" t="s">
        <v>8</v>
      </c>
      <c r="I10" s="7">
        <f>C7-60</f>
        <v>-60</v>
      </c>
      <c r="J10" s="3">
        <f>IF(C9=1,2,IF(C10=1,4,IF(C11=1,4,IF(C12=1,4,IF(C13=1,C14*2,0)))))</f>
        <v>0</v>
      </c>
      <c r="K10" s="54"/>
      <c r="L10" s="12" t="s">
        <v>104</v>
      </c>
      <c r="M10" s="5" t="s">
        <v>91</v>
      </c>
      <c r="N10" s="63">
        <f>J10/2</f>
        <v>0</v>
      </c>
    </row>
    <row r="11" spans="1:14" ht="25.5" x14ac:dyDescent="0.25">
      <c r="B11" s="121" t="s">
        <v>135</v>
      </c>
      <c r="C11" s="104">
        <v>0</v>
      </c>
      <c r="D11" s="161" t="s">
        <v>42</v>
      </c>
      <c r="E11" s="162"/>
      <c r="G11" s="11" t="s">
        <v>16</v>
      </c>
      <c r="H11" s="6" t="s">
        <v>17</v>
      </c>
      <c r="I11" s="7">
        <f>IF(C9=1,C6+H6-51.9,IF(C10=1,C6+H6*2-103.8,IF(C11=1,C6,IF(C12=1,C6,IF(C13=1,C6+H6-39,0)))))</f>
        <v>0</v>
      </c>
      <c r="J11" s="3">
        <f>IF(C11=1,2,IF(OR(C9=1,C10=1),1,IF(C12=1,1,IF(C13=1,C14,0))))</f>
        <v>0</v>
      </c>
      <c r="K11" s="54"/>
      <c r="L11" s="26" t="s">
        <v>105</v>
      </c>
      <c r="M11" s="5" t="s">
        <v>92</v>
      </c>
      <c r="N11" s="63">
        <f>IF(OR(C9=1,C10=1,C11=1,C12=1),N10,IF(AND(C13=1,C14&gt;1),1,0))</f>
        <v>0</v>
      </c>
    </row>
    <row r="12" spans="1:14" ht="39" thickBot="1" x14ac:dyDescent="0.3">
      <c r="B12" s="120" t="s">
        <v>134</v>
      </c>
      <c r="C12" s="104">
        <v>0</v>
      </c>
      <c r="D12" s="161" t="s">
        <v>42</v>
      </c>
      <c r="E12" s="162"/>
      <c r="G12" s="34" t="s">
        <v>18</v>
      </c>
      <c r="H12" s="35" t="s">
        <v>19</v>
      </c>
      <c r="I12" s="60">
        <f>IF(OR(C9=1,C10=1),I11+8,IF(C11=1,C6,IF(C12=1,I11,IF(C13=1,I11,0))))</f>
        <v>0</v>
      </c>
      <c r="J12" s="61">
        <f>IF(OR(C9=1,C10=1,C13=1),1,IF(C12=1,1,IF(C11=1,2,0)))</f>
        <v>0</v>
      </c>
      <c r="K12" s="54"/>
      <c r="L12" s="26" t="s">
        <v>93</v>
      </c>
      <c r="M12" s="5" t="s">
        <v>94</v>
      </c>
      <c r="N12" s="63">
        <f>N10</f>
        <v>0</v>
      </c>
    </row>
    <row r="13" spans="1:14" ht="25.5" x14ac:dyDescent="0.25">
      <c r="B13" s="115" t="s">
        <v>136</v>
      </c>
      <c r="C13" s="122">
        <v>0</v>
      </c>
      <c r="D13" s="167" t="s">
        <v>42</v>
      </c>
      <c r="E13" s="168"/>
      <c r="G13" s="11" t="s">
        <v>9</v>
      </c>
      <c r="H13" s="6" t="s">
        <v>10</v>
      </c>
      <c r="I13" s="7">
        <f>H6-78</f>
        <v>-78</v>
      </c>
      <c r="J13" s="3">
        <f>IF(OR(C10=1,C11=1,C12=1),2,IF(C9=1,1,IF(C13=1,C14,0)))</f>
        <v>0</v>
      </c>
      <c r="K13" s="54"/>
      <c r="L13" s="26" t="s">
        <v>95</v>
      </c>
      <c r="M13" s="5"/>
      <c r="N13" s="62">
        <f>IF(C17=1,I10*J10,0)</f>
        <v>0</v>
      </c>
    </row>
    <row r="14" spans="1:14" ht="25.5" x14ac:dyDescent="0.25">
      <c r="B14" s="97" t="s">
        <v>114</v>
      </c>
      <c r="C14" s="79">
        <v>0</v>
      </c>
      <c r="D14" s="163" t="str">
        <f>IF(AND(C14&gt;1,C14&lt;10),"допустимо","не рекомендуем")</f>
        <v>не рекомендуем</v>
      </c>
      <c r="E14" s="164"/>
      <c r="G14" s="11" t="s">
        <v>11</v>
      </c>
      <c r="H14" s="6" t="s">
        <v>12</v>
      </c>
      <c r="I14" s="7">
        <f>H6-78</f>
        <v>-78</v>
      </c>
      <c r="J14" s="3">
        <f>J13</f>
        <v>0</v>
      </c>
      <c r="K14" s="54"/>
      <c r="L14" s="26" t="s">
        <v>96</v>
      </c>
      <c r="M14" s="5" t="s">
        <v>97</v>
      </c>
      <c r="N14" s="28">
        <f>IF(OR(C9=1,C10=1),I11/500+1,0)</f>
        <v>0</v>
      </c>
    </row>
    <row r="15" spans="1:14" ht="25.5" x14ac:dyDescent="0.25">
      <c r="B15" s="98" t="s">
        <v>113</v>
      </c>
      <c r="C15" s="80">
        <v>1</v>
      </c>
      <c r="D15" s="171" t="s">
        <v>42</v>
      </c>
      <c r="E15" s="172"/>
      <c r="G15" s="11" t="s">
        <v>13</v>
      </c>
      <c r="H15" s="6" t="s">
        <v>14</v>
      </c>
      <c r="I15" s="7" t="str">
        <f>IF(C8&gt;0,H6-78,"нет")</f>
        <v>нет</v>
      </c>
      <c r="J15" s="3">
        <f>J14*C8</f>
        <v>0</v>
      </c>
      <c r="K15" s="54"/>
      <c r="L15" s="12" t="s">
        <v>98</v>
      </c>
      <c r="M15" s="5" t="s">
        <v>99</v>
      </c>
      <c r="N15" s="27">
        <f>IF(OR(C9=1,C10=1),1,0)</f>
        <v>0</v>
      </c>
    </row>
    <row r="16" spans="1:14" ht="26.25" thickBot="1" x14ac:dyDescent="0.3">
      <c r="B16" s="107" t="s">
        <v>112</v>
      </c>
      <c r="C16" s="108">
        <f>IF(C15=1,0,1)</f>
        <v>0</v>
      </c>
      <c r="D16" s="169" t="s">
        <v>42</v>
      </c>
      <c r="E16" s="170"/>
      <c r="G16" s="117" t="s">
        <v>102</v>
      </c>
      <c r="H16" s="116"/>
      <c r="I16" s="116"/>
      <c r="J16" s="116"/>
      <c r="K16" s="54"/>
      <c r="L16" s="12" t="s">
        <v>45</v>
      </c>
      <c r="M16" s="4"/>
      <c r="N16" s="16">
        <f>J13*2+J14*2+J15*2</f>
        <v>0</v>
      </c>
    </row>
    <row r="17" spans="2:14" ht="17.25" x14ac:dyDescent="0.25">
      <c r="B17" s="105" t="s">
        <v>90</v>
      </c>
      <c r="C17" s="106">
        <v>0</v>
      </c>
      <c r="D17" s="186" t="s">
        <v>42</v>
      </c>
      <c r="E17" s="187"/>
      <c r="G17" s="13" t="s">
        <v>26</v>
      </c>
      <c r="H17" s="118" t="s">
        <v>31</v>
      </c>
      <c r="I17" s="118" t="s">
        <v>84</v>
      </c>
      <c r="J17" s="118" t="s">
        <v>85</v>
      </c>
      <c r="K17" s="54"/>
      <c r="L17" s="12" t="s">
        <v>128</v>
      </c>
      <c r="M17" s="5" t="s">
        <v>129</v>
      </c>
      <c r="N17" s="16">
        <f>IF(AND(C12=1,C18=1),1,IF(AND(C10=1,C18=1),1,0))</f>
        <v>0</v>
      </c>
    </row>
    <row r="18" spans="2:14" x14ac:dyDescent="0.25">
      <c r="B18" s="105" t="s">
        <v>130</v>
      </c>
      <c r="C18" s="80">
        <v>0</v>
      </c>
      <c r="D18" s="163" t="s">
        <v>42</v>
      </c>
      <c r="E18" s="164"/>
      <c r="G18" s="13"/>
      <c r="H18" s="118"/>
      <c r="I18" s="118"/>
      <c r="J18" s="118"/>
      <c r="K18" s="54"/>
      <c r="L18" s="12" t="s">
        <v>132</v>
      </c>
      <c r="M18" s="5" t="s">
        <v>133</v>
      </c>
      <c r="N18" s="16">
        <f>IF(AND(C19=1,C9=1),1,IF(AND(C10=1,C19=1),2,IF(AND(C11=1,C19=1),2,IF(AND(C12=1,C19=1),2,IF(AND(C13=1,C19=1),1,0)))))</f>
        <v>0</v>
      </c>
    </row>
    <row r="19" spans="2:14" x14ac:dyDescent="0.25">
      <c r="B19" s="105" t="s">
        <v>131</v>
      </c>
      <c r="C19" s="80">
        <v>0</v>
      </c>
      <c r="D19" s="163" t="s">
        <v>42</v>
      </c>
      <c r="E19" s="164"/>
      <c r="G19" s="11" t="s">
        <v>27</v>
      </c>
      <c r="H19" s="3">
        <f>IF(C20=1,C8+1,0)</f>
        <v>0</v>
      </c>
      <c r="I19" s="2">
        <f>IF(C20=1,H6-60,0)</f>
        <v>0</v>
      </c>
      <c r="J19" s="10">
        <f>IF(C20=1,(H7-44-8*C8),0)</f>
        <v>0</v>
      </c>
      <c r="K19" s="54"/>
      <c r="L19" s="12" t="s">
        <v>46</v>
      </c>
      <c r="M19" s="109"/>
      <c r="N19" s="16">
        <f>N16</f>
        <v>0</v>
      </c>
    </row>
    <row r="20" spans="2:14" x14ac:dyDescent="0.25">
      <c r="B20" s="14" t="s">
        <v>35</v>
      </c>
      <c r="C20" s="80">
        <v>0</v>
      </c>
      <c r="D20" s="163" t="s">
        <v>42</v>
      </c>
      <c r="E20" s="164"/>
      <c r="G20" s="11" t="s">
        <v>28</v>
      </c>
      <c r="H20" s="3">
        <f>IF(C21=1,C8+1,0)</f>
        <v>0</v>
      </c>
      <c r="I20" s="2">
        <f>IF(C21=1,H6-62,0)</f>
        <v>0</v>
      </c>
      <c r="J20" s="10">
        <f>IF(C21=1,(H7-46-10*C8),0)</f>
        <v>0</v>
      </c>
      <c r="K20" s="54"/>
      <c r="L20" s="12" t="s">
        <v>48</v>
      </c>
      <c r="M20" s="110"/>
      <c r="N20" s="17">
        <f>IF(C21=1,(J13+J14+J15*2)*I20+J10*J20,IF(C22=1,(J13+J14+J15*2)*I21+J10*J21,0))</f>
        <v>0</v>
      </c>
    </row>
    <row r="21" spans="2:14" x14ac:dyDescent="0.25">
      <c r="B21" s="14" t="s">
        <v>36</v>
      </c>
      <c r="C21" s="80">
        <v>0</v>
      </c>
      <c r="D21" s="163" t="s">
        <v>42</v>
      </c>
      <c r="E21" s="164"/>
      <c r="G21" s="11" t="s">
        <v>29</v>
      </c>
      <c r="H21" s="3">
        <f>IF(C22=1,C8+1,0)</f>
        <v>0</v>
      </c>
      <c r="I21" s="2">
        <f>IF(C22=1,H6-63,0)</f>
        <v>0</v>
      </c>
      <c r="J21" s="10">
        <f>IF(C22=1,(H7-47-11*C8),0)</f>
        <v>0</v>
      </c>
      <c r="K21" s="54"/>
      <c r="L21" s="26" t="s">
        <v>115</v>
      </c>
      <c r="M21" s="111" t="s">
        <v>118</v>
      </c>
      <c r="N21" s="16">
        <f>IF(AND(C13=1,C15=1),C14-1,0)</f>
        <v>0</v>
      </c>
    </row>
    <row r="22" spans="2:14" ht="15.75" thickBot="1" x14ac:dyDescent="0.3">
      <c r="B22" s="20" t="s">
        <v>37</v>
      </c>
      <c r="C22" s="81">
        <v>0</v>
      </c>
      <c r="D22" s="165" t="s">
        <v>42</v>
      </c>
      <c r="E22" s="166"/>
      <c r="G22" s="101"/>
      <c r="H22" s="99"/>
      <c r="I22" s="99"/>
      <c r="J22" s="99"/>
      <c r="K22" s="54"/>
      <c r="L22" s="26" t="s">
        <v>116</v>
      </c>
      <c r="M22" s="111" t="s">
        <v>117</v>
      </c>
      <c r="N22" s="16">
        <f>IF(AND(C13=1,C16=1),C14-1,0)</f>
        <v>0</v>
      </c>
    </row>
    <row r="23" spans="2:14" ht="15.75" x14ac:dyDescent="0.25">
      <c r="B23" s="174" t="s">
        <v>107</v>
      </c>
      <c r="C23" s="174"/>
      <c r="D23" s="174"/>
      <c r="E23" s="174"/>
      <c r="G23" s="101"/>
      <c r="H23" s="99"/>
      <c r="I23" s="99"/>
      <c r="J23" s="99"/>
      <c r="K23" s="54"/>
      <c r="L23" s="99"/>
      <c r="M23" s="99"/>
      <c r="N23" s="100"/>
    </row>
    <row r="24" spans="2:14" x14ac:dyDescent="0.25">
      <c r="B24" s="173" t="s">
        <v>106</v>
      </c>
      <c r="C24" s="173"/>
      <c r="D24" s="173"/>
      <c r="E24" s="173"/>
      <c r="G24" s="101"/>
      <c r="H24" s="99"/>
      <c r="I24" s="99"/>
      <c r="J24" s="99"/>
      <c r="K24" s="54"/>
      <c r="L24" s="99"/>
      <c r="M24" s="99"/>
      <c r="N24" s="100"/>
    </row>
    <row r="25" spans="2:14" x14ac:dyDescent="0.25">
      <c r="B25" s="173"/>
      <c r="C25" s="173"/>
      <c r="D25" s="173"/>
      <c r="E25" s="173"/>
      <c r="G25" s="101"/>
      <c r="H25" s="99"/>
      <c r="I25" s="99"/>
      <c r="J25" s="99"/>
      <c r="K25" s="54"/>
      <c r="L25" s="99"/>
      <c r="M25" s="99"/>
      <c r="N25" s="100"/>
    </row>
    <row r="26" spans="2:14" ht="15.75" thickBot="1" x14ac:dyDescent="0.3">
      <c r="B26" s="173"/>
      <c r="C26" s="173"/>
      <c r="D26" s="173"/>
      <c r="E26" s="173"/>
      <c r="G26" s="102"/>
      <c r="H26" s="103"/>
      <c r="I26" s="103"/>
      <c r="J26" s="103"/>
      <c r="K26" s="59"/>
      <c r="L26" s="103"/>
      <c r="M26" s="103"/>
      <c r="N26" s="49"/>
    </row>
    <row r="30" spans="2:14" x14ac:dyDescent="0.25">
      <c r="N30" s="75" t="s">
        <v>103</v>
      </c>
    </row>
    <row r="31" spans="2:14" x14ac:dyDescent="0.25">
      <c r="J31" s="64"/>
    </row>
  </sheetData>
  <sheetProtection algorithmName="SHA-512" hashValue="JZmsTZL7LUVN6M4BrQi857qjjHkKc4NHurRlZpou5ddpKmvKa7x5wa7mGd1Ezr9J4ngpqKfi8tohQovGiPRp1g==" saltValue="pvbzeRC23rd6kORVWJpl4Q==" spinCount="100000" sheet="1" objects="1" scenarios="1"/>
  <mergeCells count="27">
    <mergeCell ref="B24:E26"/>
    <mergeCell ref="B23:E23"/>
    <mergeCell ref="L8:N8"/>
    <mergeCell ref="D9:E9"/>
    <mergeCell ref="B1:N1"/>
    <mergeCell ref="B2:E2"/>
    <mergeCell ref="G2:N2"/>
    <mergeCell ref="B4:C4"/>
    <mergeCell ref="G4:H4"/>
    <mergeCell ref="D5:E5"/>
    <mergeCell ref="D17:E17"/>
    <mergeCell ref="D6:E6"/>
    <mergeCell ref="D7:E7"/>
    <mergeCell ref="D8:E8"/>
    <mergeCell ref="G8:J8"/>
    <mergeCell ref="D10:E10"/>
    <mergeCell ref="D11:E11"/>
    <mergeCell ref="D20:E20"/>
    <mergeCell ref="D21:E21"/>
    <mergeCell ref="D22:E22"/>
    <mergeCell ref="D14:E14"/>
    <mergeCell ref="D13:E13"/>
    <mergeCell ref="D16:E16"/>
    <mergeCell ref="D15:E15"/>
    <mergeCell ref="D18:E18"/>
    <mergeCell ref="D19:E19"/>
    <mergeCell ref="D12:E12"/>
  </mergeCells>
  <conditionalFormatting sqref="D6:E8 D18:E22">
    <cfRule type="cellIs" dxfId="39" priority="43" operator="equal">
      <formula>"не рекомендуем"</formula>
    </cfRule>
  </conditionalFormatting>
  <conditionalFormatting sqref="H6:H7 N10:N20">
    <cfRule type="expression" dxfId="38" priority="42">
      <formula>$C$6=0</formula>
    </cfRule>
  </conditionalFormatting>
  <conditionalFormatting sqref="D10:E10">
    <cfRule type="cellIs" dxfId="37" priority="36" operator="equal">
      <formula>"допуск превышен"</formula>
    </cfRule>
  </conditionalFormatting>
  <conditionalFormatting sqref="D17:E17 D11:E12">
    <cfRule type="cellIs" dxfId="36" priority="33" operator="equal">
      <formula>"допуск превышен"</formula>
    </cfRule>
  </conditionalFormatting>
  <conditionalFormatting sqref="I10:J15">
    <cfRule type="expression" dxfId="35" priority="31">
      <formula>$C$6=0</formula>
    </cfRule>
  </conditionalFormatting>
  <conditionalFormatting sqref="I19:J21">
    <cfRule type="expression" dxfId="34" priority="30">
      <formula>$C$6=0</formula>
    </cfRule>
  </conditionalFormatting>
  <conditionalFormatting sqref="C6:C8 C17:C22 C10:C12">
    <cfRule type="cellIs" dxfId="33" priority="29" operator="greaterThan">
      <formula>0</formula>
    </cfRule>
  </conditionalFormatting>
  <conditionalFormatting sqref="D9:E9">
    <cfRule type="cellIs" dxfId="32" priority="26" operator="equal">
      <formula>"допуск превышен"</formula>
    </cfRule>
  </conditionalFormatting>
  <conditionalFormatting sqref="C9">
    <cfRule type="cellIs" dxfId="31" priority="25" operator="greaterThan">
      <formula>0</formula>
    </cfRule>
  </conditionalFormatting>
  <conditionalFormatting sqref="D6:E7">
    <cfRule type="expression" dxfId="30" priority="24">
      <formula>$C6=0</formula>
    </cfRule>
  </conditionalFormatting>
  <conditionalFormatting sqref="C14">
    <cfRule type="cellIs" dxfId="29" priority="18" operator="greaterThan">
      <formula>0</formula>
    </cfRule>
  </conditionalFormatting>
  <conditionalFormatting sqref="D13:E13">
    <cfRule type="cellIs" dxfId="28" priority="21" operator="equal">
      <formula>"допуск превышен"</formula>
    </cfRule>
  </conditionalFormatting>
  <conditionalFormatting sqref="C13">
    <cfRule type="cellIs" dxfId="27" priority="20" operator="greaterThan">
      <formula>0</formula>
    </cfRule>
  </conditionalFormatting>
  <conditionalFormatting sqref="D14:E14">
    <cfRule type="expression" dxfId="26" priority="1">
      <formula>$C$6=0</formula>
    </cfRule>
    <cfRule type="cellIs" dxfId="25" priority="19" operator="equal">
      <formula>"не рекомендуем"</formula>
    </cfRule>
  </conditionalFormatting>
  <conditionalFormatting sqref="D15:E16">
    <cfRule type="cellIs" dxfId="24" priority="7" operator="equal">
      <formula>"допуск превышен"</formula>
    </cfRule>
  </conditionalFormatting>
  <conditionalFormatting sqref="C15:C16">
    <cfRule type="cellIs" dxfId="23" priority="4" operator="greaterThan">
      <formula>0</formula>
    </cfRule>
  </conditionalFormatting>
  <conditionalFormatting sqref="N21">
    <cfRule type="expression" dxfId="22" priority="3">
      <formula>$C$6=0</formula>
    </cfRule>
  </conditionalFormatting>
  <conditionalFormatting sqref="N22">
    <cfRule type="expression" dxfId="21" priority="2">
      <formula>$C$6=0</formula>
    </cfRule>
  </conditionalFormatting>
  <conditionalFormatting sqref="C18:C22">
    <cfRule type="iconSet" priority="46">
      <iconSet iconSet="3Symbols2" showValue="0">
        <cfvo type="percent" val="0"/>
        <cfvo type="num" val="0" gte="0"/>
        <cfvo type="num" val="1"/>
      </iconSet>
    </cfRule>
    <cfRule type="iconSet" priority="47">
      <iconSet showValue="0">
        <cfvo type="percent" val="0"/>
        <cfvo type="num" val="0" gte="0"/>
        <cfvo type="num" val="1"/>
      </iconSet>
    </cfRule>
  </conditionalFormatting>
  <conditionalFormatting sqref="C10">
    <cfRule type="iconSet" priority="48">
      <iconSet iconSet="3Symbols2" showValue="0">
        <cfvo type="percent" val="0"/>
        <cfvo type="num" val="0" gte="0"/>
        <cfvo type="num" val="1"/>
      </iconSet>
    </cfRule>
    <cfRule type="iconSet" priority="49">
      <iconSet showValue="0">
        <cfvo type="percent" val="0"/>
        <cfvo type="num" val="0" gte="0"/>
        <cfvo type="num" val="1"/>
      </iconSet>
    </cfRule>
  </conditionalFormatting>
  <conditionalFormatting sqref="C17 C11:C12">
    <cfRule type="iconSet" priority="50">
      <iconSet iconSet="3Symbols2" showValue="0">
        <cfvo type="percent" val="0"/>
        <cfvo type="num" val="0" gte="0"/>
        <cfvo type="num" val="1"/>
      </iconSet>
    </cfRule>
    <cfRule type="iconSet" priority="51">
      <iconSet showValue="0">
        <cfvo type="percent" val="0"/>
        <cfvo type="num" val="0" gte="0"/>
        <cfvo type="num" val="1"/>
      </iconSet>
    </cfRule>
  </conditionalFormatting>
  <conditionalFormatting sqref="C9">
    <cfRule type="iconSet" priority="54">
      <iconSet iconSet="3Symbols2" showValue="0">
        <cfvo type="percent" val="0"/>
        <cfvo type="num" val="0" gte="0"/>
        <cfvo type="num" val="1"/>
      </iconSet>
    </cfRule>
    <cfRule type="iconSet" priority="55">
      <iconSet showValue="0">
        <cfvo type="percent" val="0"/>
        <cfvo type="num" val="0" gte="0"/>
        <cfvo type="num" val="1"/>
      </iconSet>
    </cfRule>
  </conditionalFormatting>
  <conditionalFormatting sqref="C13">
    <cfRule type="iconSet" priority="56">
      <iconSet iconSet="3Symbols2" showValue="0">
        <cfvo type="percent" val="0"/>
        <cfvo type="num" val="0" gte="0"/>
        <cfvo type="num" val="1"/>
      </iconSet>
    </cfRule>
    <cfRule type="iconSet" priority="57">
      <iconSet showValue="0">
        <cfvo type="percent" val="0"/>
        <cfvo type="num" val="0" gte="0"/>
        <cfvo type="num" val="1"/>
      </iconSet>
    </cfRule>
  </conditionalFormatting>
  <conditionalFormatting sqref="C15">
    <cfRule type="iconSet" priority="58">
      <iconSet iconSet="3Symbols2" showValue="0">
        <cfvo type="percent" val="0"/>
        <cfvo type="num" val="0" gte="0"/>
        <cfvo type="num" val="1"/>
      </iconSet>
    </cfRule>
    <cfRule type="iconSet" priority="59">
      <iconSet showValue="0">
        <cfvo type="percent" val="0"/>
        <cfvo type="num" val="0" gte="0"/>
        <cfvo type="num" val="1"/>
      </iconSet>
    </cfRule>
  </conditionalFormatting>
  <conditionalFormatting sqref="C16">
    <cfRule type="iconSet" priority="60">
      <iconSet iconSet="3Symbols2" showValue="0">
        <cfvo type="percent" val="0"/>
        <cfvo type="num" val="0" gte="0"/>
        <cfvo type="num" val="1"/>
      </iconSet>
    </cfRule>
    <cfRule type="iconSet" priority="61">
      <iconSet showValue="0">
        <cfvo type="percent" val="0"/>
        <cfvo type="num" val="0" gte="0"/>
        <cfvo type="num" val="1"/>
      </iconSet>
    </cfRule>
  </conditionalFormatting>
  <hyperlinks>
    <hyperlink ref="N30" location="ОГЛАВЛЕНИЕ!A1" display="оглавление"/>
  </hyperlink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83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1"/>
    <pageSetUpPr fitToPage="1"/>
  </sheetPr>
  <dimension ref="B1:O24"/>
  <sheetViews>
    <sheetView zoomScaleNormal="100" zoomScalePageLayoutView="110" workbookViewId="0">
      <selection activeCell="C6" sqref="C6"/>
    </sheetView>
  </sheetViews>
  <sheetFormatPr defaultColWidth="8.85546875" defaultRowHeight="15" x14ac:dyDescent="0.25"/>
  <cols>
    <col min="1" max="1" width="0.85546875" style="25" customWidth="1"/>
    <col min="2" max="2" width="19" style="25" bestFit="1" customWidth="1"/>
    <col min="3" max="3" width="10.85546875" style="25" bestFit="1" customWidth="1"/>
    <col min="4" max="5" width="9.85546875" style="25" bestFit="1" customWidth="1"/>
    <col min="6" max="6" width="0.85546875" style="25" customWidth="1"/>
    <col min="7" max="7" width="20.140625" style="25" bestFit="1" customWidth="1"/>
    <col min="8" max="8" width="9.85546875" style="25" bestFit="1" customWidth="1"/>
    <col min="9" max="9" width="9.7109375" style="25" bestFit="1" customWidth="1"/>
    <col min="10" max="10" width="11.28515625" style="25" bestFit="1" customWidth="1"/>
    <col min="11" max="11" width="1.140625" style="25" customWidth="1"/>
    <col min="12" max="12" width="39.42578125" style="25" bestFit="1" customWidth="1"/>
    <col min="13" max="13" width="8" style="25" bestFit="1" customWidth="1"/>
    <col min="14" max="14" width="10.42578125" style="25" bestFit="1" customWidth="1"/>
    <col min="15" max="16384" width="8.85546875" style="25"/>
  </cols>
  <sheetData>
    <row r="1" spans="2:14" ht="19.5" thickBot="1" x14ac:dyDescent="0.3">
      <c r="B1" s="192" t="s">
        <v>50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2:14" s="57" customFormat="1" x14ac:dyDescent="0.25">
      <c r="B2" s="178" t="s">
        <v>108</v>
      </c>
      <c r="C2" s="179"/>
      <c r="D2" s="179"/>
      <c r="E2" s="180"/>
      <c r="G2" s="178" t="s">
        <v>109</v>
      </c>
      <c r="H2" s="179"/>
      <c r="I2" s="179"/>
      <c r="J2" s="179"/>
      <c r="K2" s="179"/>
      <c r="L2" s="179"/>
      <c r="M2" s="179"/>
      <c r="N2" s="180"/>
    </row>
    <row r="3" spans="2:14" ht="4.5" customHeight="1" x14ac:dyDescent="0.25">
      <c r="B3" s="22"/>
      <c r="C3" s="23"/>
      <c r="D3" s="23"/>
      <c r="E3" s="24"/>
      <c r="G3" s="51"/>
      <c r="H3" s="52"/>
      <c r="I3" s="52"/>
      <c r="J3" s="52"/>
      <c r="K3" s="52"/>
      <c r="L3" s="52"/>
      <c r="M3" s="52"/>
      <c r="N3" s="53"/>
    </row>
    <row r="4" spans="2:14" s="50" customFormat="1" ht="15.75" x14ac:dyDescent="0.25">
      <c r="B4" s="181" t="s">
        <v>33</v>
      </c>
      <c r="C4" s="182"/>
      <c r="D4" s="55"/>
      <c r="E4" s="56"/>
      <c r="G4" s="183" t="s">
        <v>51</v>
      </c>
      <c r="H4" s="175"/>
      <c r="I4" s="55"/>
      <c r="J4" s="55"/>
      <c r="K4" s="55"/>
      <c r="L4" s="55"/>
      <c r="M4" s="55"/>
      <c r="N4" s="56"/>
    </row>
    <row r="5" spans="2:14" x14ac:dyDescent="0.25">
      <c r="B5" s="13" t="s">
        <v>15</v>
      </c>
      <c r="C5" s="8" t="s">
        <v>38</v>
      </c>
      <c r="D5" s="184" t="s">
        <v>41</v>
      </c>
      <c r="E5" s="185"/>
      <c r="G5" s="13" t="s">
        <v>5</v>
      </c>
      <c r="H5" s="8" t="s">
        <v>38</v>
      </c>
      <c r="I5" s="29"/>
      <c r="J5" s="29"/>
      <c r="K5" s="29"/>
      <c r="L5" s="29"/>
      <c r="M5" s="29"/>
      <c r="N5" s="30"/>
    </row>
    <row r="6" spans="2:14" ht="15.75" x14ac:dyDescent="0.25">
      <c r="B6" s="31" t="s">
        <v>0</v>
      </c>
      <c r="C6" s="78">
        <v>0</v>
      </c>
      <c r="D6" s="193" t="e">
        <f>IF(H6&gt;700,"не рекомендуем","допустимо")</f>
        <v>#DIV/0!</v>
      </c>
      <c r="E6" s="194"/>
      <c r="G6" s="32" t="s">
        <v>54</v>
      </c>
      <c r="H6" s="33" t="e">
        <f>IF(C8=1,(C6-4)/C8,(C6-6)/C8)</f>
        <v>#DIV/0!</v>
      </c>
      <c r="K6" s="29"/>
      <c r="L6" s="29"/>
      <c r="M6" s="29"/>
      <c r="N6" s="30"/>
    </row>
    <row r="7" spans="2:14" ht="15.75" x14ac:dyDescent="0.25">
      <c r="B7" s="31" t="s">
        <v>1</v>
      </c>
      <c r="C7" s="78">
        <v>0</v>
      </c>
      <c r="D7" s="193" t="str">
        <f>IF(C7&gt;2120,"не рекомендуем","допустимо")</f>
        <v>допустимо</v>
      </c>
      <c r="E7" s="194"/>
      <c r="G7" s="32" t="s">
        <v>53</v>
      </c>
      <c r="H7" s="33">
        <f>I10</f>
        <v>-20</v>
      </c>
      <c r="I7" s="29"/>
      <c r="J7" s="29"/>
      <c r="K7" s="29"/>
      <c r="L7" s="29"/>
      <c r="M7" s="29"/>
      <c r="N7" s="30"/>
    </row>
    <row r="8" spans="2:14" ht="15.75" x14ac:dyDescent="0.25">
      <c r="B8" s="31" t="s">
        <v>52</v>
      </c>
      <c r="C8" s="96">
        <v>0</v>
      </c>
      <c r="D8" s="190" t="s">
        <v>110</v>
      </c>
      <c r="E8" s="191"/>
      <c r="G8" s="183" t="s">
        <v>58</v>
      </c>
      <c r="H8" s="175"/>
      <c r="I8" s="175"/>
      <c r="J8" s="175"/>
      <c r="K8" s="55"/>
      <c r="L8" s="175" t="s">
        <v>59</v>
      </c>
      <c r="M8" s="175"/>
      <c r="N8" s="176"/>
    </row>
    <row r="9" spans="2:14" ht="15.75" x14ac:dyDescent="0.25">
      <c r="B9" s="31" t="s">
        <v>2</v>
      </c>
      <c r="C9" s="79">
        <v>0</v>
      </c>
      <c r="D9" s="190" t="s">
        <v>32</v>
      </c>
      <c r="E9" s="191"/>
      <c r="G9" s="13" t="s">
        <v>5</v>
      </c>
      <c r="H9" s="8" t="s">
        <v>6</v>
      </c>
      <c r="I9" s="8" t="s">
        <v>22</v>
      </c>
      <c r="J9" s="8" t="s">
        <v>24</v>
      </c>
      <c r="K9" s="29"/>
      <c r="L9" s="8" t="s">
        <v>5</v>
      </c>
      <c r="M9" s="8" t="s">
        <v>6</v>
      </c>
      <c r="N9" s="18" t="s">
        <v>23</v>
      </c>
    </row>
    <row r="10" spans="2:14" x14ac:dyDescent="0.25">
      <c r="B10" s="32" t="s">
        <v>35</v>
      </c>
      <c r="C10" s="80">
        <v>0</v>
      </c>
      <c r="D10" s="190" t="s">
        <v>42</v>
      </c>
      <c r="E10" s="191"/>
      <c r="G10" s="34" t="s">
        <v>7</v>
      </c>
      <c r="H10" s="35" t="s">
        <v>8</v>
      </c>
      <c r="I10" s="36">
        <f>C7-20</f>
        <v>-20</v>
      </c>
      <c r="J10" s="37">
        <f>IF(C7=0,0,2)</f>
        <v>0</v>
      </c>
      <c r="K10" s="29"/>
      <c r="L10" s="38" t="s">
        <v>67</v>
      </c>
      <c r="M10" s="39" t="s">
        <v>57</v>
      </c>
      <c r="N10" s="27">
        <v>1</v>
      </c>
    </row>
    <row r="11" spans="2:14" x14ac:dyDescent="0.25">
      <c r="B11" s="32" t="s">
        <v>36</v>
      </c>
      <c r="C11" s="80">
        <v>0</v>
      </c>
      <c r="D11" s="190" t="s">
        <v>42</v>
      </c>
      <c r="E11" s="191"/>
      <c r="G11" s="34" t="s">
        <v>9</v>
      </c>
      <c r="H11" s="35" t="s">
        <v>10</v>
      </c>
      <c r="I11" s="36" t="e">
        <f>H6-78</f>
        <v>#DIV/0!</v>
      </c>
      <c r="J11" s="37">
        <f>IF(C6=0,0,1)</f>
        <v>0</v>
      </c>
      <c r="K11" s="29"/>
      <c r="L11" s="38" t="s">
        <v>63</v>
      </c>
      <c r="M11" s="39" t="s">
        <v>61</v>
      </c>
      <c r="N11" s="27">
        <v>1</v>
      </c>
    </row>
    <row r="12" spans="2:14" ht="15.75" thickBot="1" x14ac:dyDescent="0.3">
      <c r="B12" s="41" t="s">
        <v>37</v>
      </c>
      <c r="C12" s="81">
        <v>0</v>
      </c>
      <c r="D12" s="196" t="s">
        <v>42</v>
      </c>
      <c r="E12" s="197"/>
      <c r="G12" s="34" t="s">
        <v>11</v>
      </c>
      <c r="H12" s="35" t="s">
        <v>12</v>
      </c>
      <c r="I12" s="36" t="e">
        <f>H6-78</f>
        <v>#DIV/0!</v>
      </c>
      <c r="J12" s="37">
        <f>IF(C6=0,0,1)</f>
        <v>0</v>
      </c>
      <c r="K12" s="29"/>
      <c r="L12" s="38" t="s">
        <v>64</v>
      </c>
      <c r="M12" s="39" t="s">
        <v>62</v>
      </c>
      <c r="N12" s="16">
        <v>2</v>
      </c>
    </row>
    <row r="13" spans="2:14" ht="15.75" x14ac:dyDescent="0.25">
      <c r="B13" s="174" t="s">
        <v>107</v>
      </c>
      <c r="C13" s="174"/>
      <c r="D13" s="174"/>
      <c r="E13" s="174"/>
      <c r="G13" s="34" t="s">
        <v>13</v>
      </c>
      <c r="H13" s="35" t="s">
        <v>14</v>
      </c>
      <c r="I13" s="36" t="str">
        <f>IF(C9&gt;0,H6-78,"нет")</f>
        <v>нет</v>
      </c>
      <c r="J13" s="37">
        <f>C9</f>
        <v>0</v>
      </c>
      <c r="K13" s="29"/>
      <c r="L13" s="38" t="s">
        <v>65</v>
      </c>
      <c r="M13" s="39" t="s">
        <v>66</v>
      </c>
      <c r="N13" s="27">
        <v>1</v>
      </c>
    </row>
    <row r="14" spans="2:14" x14ac:dyDescent="0.25">
      <c r="B14" s="195" t="s">
        <v>125</v>
      </c>
      <c r="C14" s="195"/>
      <c r="D14" s="195"/>
      <c r="E14" s="195"/>
      <c r="G14" s="34" t="s">
        <v>55</v>
      </c>
      <c r="H14" s="35" t="s">
        <v>56</v>
      </c>
      <c r="I14" s="36">
        <f>IF(J14=0,0,540)</f>
        <v>0</v>
      </c>
      <c r="J14" s="37">
        <f>IF(C7=0,0,1)</f>
        <v>0</v>
      </c>
      <c r="L14" s="38" t="s">
        <v>45</v>
      </c>
      <c r="M14" s="40"/>
      <c r="N14" s="16">
        <f>N15</f>
        <v>0</v>
      </c>
    </row>
    <row r="15" spans="2:14" ht="15.75" x14ac:dyDescent="0.25">
      <c r="B15" s="195"/>
      <c r="C15" s="195"/>
      <c r="D15" s="195"/>
      <c r="E15" s="195"/>
      <c r="G15" s="183" t="s">
        <v>60</v>
      </c>
      <c r="H15" s="175"/>
      <c r="I15" s="175"/>
      <c r="J15" s="175"/>
      <c r="L15" s="38" t="s">
        <v>46</v>
      </c>
      <c r="M15" s="40"/>
      <c r="N15" s="16">
        <f>J11*2+J12*2+J13*2</f>
        <v>0</v>
      </c>
    </row>
    <row r="16" spans="2:14" ht="17.25" x14ac:dyDescent="0.25">
      <c r="B16" s="195"/>
      <c r="C16" s="195"/>
      <c r="D16" s="195"/>
      <c r="E16" s="195"/>
      <c r="G16" s="13" t="s">
        <v>26</v>
      </c>
      <c r="H16" s="8" t="s">
        <v>31</v>
      </c>
      <c r="I16" s="8" t="s">
        <v>84</v>
      </c>
      <c r="J16" s="8" t="s">
        <v>85</v>
      </c>
      <c r="L16" s="38" t="s">
        <v>48</v>
      </c>
      <c r="M16" s="38"/>
      <c r="N16" s="17">
        <f>IF(C11=1,(J11+J12+J13*2)*I18+J10*J18,IF(C12=1,(J11+J12+J13*2)*I19+J10*J19,0))</f>
        <v>0</v>
      </c>
    </row>
    <row r="17" spans="7:15" x14ac:dyDescent="0.25">
      <c r="G17" s="34" t="s">
        <v>27</v>
      </c>
      <c r="H17" s="37">
        <f>IF(C10=1,C9+1,0)</f>
        <v>0</v>
      </c>
      <c r="I17" s="42">
        <f>IF(C10=1,H6-60,0)</f>
        <v>0</v>
      </c>
      <c r="J17" s="43">
        <f>IF(C10=1,(H7-44-8*C9),0)</f>
        <v>0</v>
      </c>
      <c r="K17" s="29"/>
      <c r="L17" s="29"/>
      <c r="M17" s="29"/>
      <c r="N17" s="30"/>
    </row>
    <row r="18" spans="7:15" x14ac:dyDescent="0.25">
      <c r="G18" s="34" t="s">
        <v>28</v>
      </c>
      <c r="H18" s="37">
        <f>IF(C11=1,C9+1,0)</f>
        <v>0</v>
      </c>
      <c r="I18" s="42">
        <f>IF(C11=1,H6-62,0)</f>
        <v>0</v>
      </c>
      <c r="J18" s="43">
        <f>IF(C11=1,(H7-46-10*C9),0)</f>
        <v>0</v>
      </c>
      <c r="K18" s="29"/>
      <c r="L18" s="29"/>
      <c r="M18" s="29"/>
      <c r="N18" s="30"/>
    </row>
    <row r="19" spans="7:15" ht="15.75" thickBot="1" x14ac:dyDescent="0.3">
      <c r="G19" s="44" t="s">
        <v>29</v>
      </c>
      <c r="H19" s="45">
        <f>IF(C12=1,C9+1,0)</f>
        <v>0</v>
      </c>
      <c r="I19" s="46">
        <f>IF(C12=1,H6-63,0)</f>
        <v>0</v>
      </c>
      <c r="J19" s="47">
        <f>IF(C12=1,(H7-47-11*C9),0)</f>
        <v>0</v>
      </c>
      <c r="K19" s="48"/>
      <c r="L19" s="48"/>
      <c r="M19" s="48"/>
      <c r="N19" s="49"/>
    </row>
    <row r="24" spans="7:15" x14ac:dyDescent="0.25">
      <c r="N24" s="75" t="s">
        <v>103</v>
      </c>
      <c r="O24" s="1"/>
    </row>
  </sheetData>
  <sheetProtection password="CC59" sheet="1" objects="1" scenarios="1"/>
  <mergeCells count="18">
    <mergeCell ref="B14:E16"/>
    <mergeCell ref="B13:E13"/>
    <mergeCell ref="D11:E11"/>
    <mergeCell ref="D12:E12"/>
    <mergeCell ref="G15:J15"/>
    <mergeCell ref="D5:E5"/>
    <mergeCell ref="D10:E10"/>
    <mergeCell ref="B1:N1"/>
    <mergeCell ref="B2:E2"/>
    <mergeCell ref="G2:N2"/>
    <mergeCell ref="B4:C4"/>
    <mergeCell ref="G4:H4"/>
    <mergeCell ref="D6:E6"/>
    <mergeCell ref="D7:E7"/>
    <mergeCell ref="D9:E9"/>
    <mergeCell ref="G8:J8"/>
    <mergeCell ref="L8:N8"/>
    <mergeCell ref="D8:E8"/>
  </mergeCells>
  <conditionalFormatting sqref="D6:E12">
    <cfRule type="cellIs" dxfId="20" priority="8" operator="equal">
      <formula>"не рекомендуем"</formula>
    </cfRule>
  </conditionalFormatting>
  <conditionalFormatting sqref="H6:H7 N10:N15 I10:J14">
    <cfRule type="expression" dxfId="19" priority="7">
      <formula>$C$6=0</formula>
    </cfRule>
  </conditionalFormatting>
  <conditionalFormatting sqref="H17:J19">
    <cfRule type="expression" dxfId="18" priority="5">
      <formula>$C$6=0</formula>
    </cfRule>
  </conditionalFormatting>
  <conditionalFormatting sqref="C6:C7 C9:C12">
    <cfRule type="cellIs" dxfId="17" priority="3" operator="greaterThan">
      <formula>0</formula>
    </cfRule>
  </conditionalFormatting>
  <conditionalFormatting sqref="N16">
    <cfRule type="expression" dxfId="16" priority="2">
      <formula>$C$6=0</formula>
    </cfRule>
  </conditionalFormatting>
  <conditionalFormatting sqref="C10:C12">
    <cfRule type="iconSet" priority="25">
      <iconSet iconSet="3Symbols2" showValue="0">
        <cfvo type="percent" val="0"/>
        <cfvo type="num" val="0" gte="0"/>
        <cfvo type="num" val="1"/>
      </iconSet>
    </cfRule>
    <cfRule type="iconSet" priority="26">
      <iconSet showValue="0">
        <cfvo type="percent" val="0"/>
        <cfvo type="num" val="0" gte="0"/>
        <cfvo type="num" val="1"/>
      </iconSet>
    </cfRule>
  </conditionalFormatting>
  <conditionalFormatting sqref="D6:E7">
    <cfRule type="expression" dxfId="15" priority="1">
      <formula>$C6=0</formula>
    </cfRule>
  </conditionalFormatting>
  <hyperlinks>
    <hyperlink ref="N24" location="ОГЛАВЛЕНИЕ!A1" display="оглавление"/>
  </hyperlink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verticalDpi="0"/>
  <ignoredErrors>
    <ignoredError sqref="D6" evalError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1"/>
    <pageSetUpPr fitToPage="1"/>
  </sheetPr>
  <dimension ref="B1:N26"/>
  <sheetViews>
    <sheetView zoomScaleNormal="100" workbookViewId="0">
      <selection activeCell="C6" sqref="C6"/>
    </sheetView>
  </sheetViews>
  <sheetFormatPr defaultColWidth="8.85546875" defaultRowHeight="15" x14ac:dyDescent="0.25"/>
  <cols>
    <col min="1" max="1" width="1" style="25" customWidth="1"/>
    <col min="2" max="2" width="19" style="25" bestFit="1" customWidth="1"/>
    <col min="3" max="3" width="10.85546875" style="25" bestFit="1" customWidth="1"/>
    <col min="4" max="5" width="10.140625" style="25" customWidth="1"/>
    <col min="6" max="6" width="0.85546875" style="25" customWidth="1"/>
    <col min="7" max="7" width="20.42578125" style="25" bestFit="1" customWidth="1"/>
    <col min="8" max="8" width="9.85546875" style="25" bestFit="1" customWidth="1"/>
    <col min="9" max="9" width="9.7109375" style="25" bestFit="1" customWidth="1"/>
    <col min="10" max="10" width="11.28515625" style="25" bestFit="1" customWidth="1"/>
    <col min="11" max="11" width="1.140625" style="25" customWidth="1"/>
    <col min="12" max="12" width="39.42578125" style="25" bestFit="1" customWidth="1"/>
    <col min="13" max="13" width="11" style="25" bestFit="1" customWidth="1"/>
    <col min="14" max="14" width="10.42578125" style="25" bestFit="1" customWidth="1"/>
    <col min="15" max="16384" width="8.85546875" style="25"/>
  </cols>
  <sheetData>
    <row r="1" spans="2:14" ht="19.5" thickBot="1" x14ac:dyDescent="0.3">
      <c r="B1" s="192" t="s">
        <v>49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2:14" s="57" customFormat="1" x14ac:dyDescent="0.25">
      <c r="B2" s="178" t="s">
        <v>108</v>
      </c>
      <c r="C2" s="179"/>
      <c r="D2" s="179"/>
      <c r="E2" s="180"/>
      <c r="G2" s="178" t="s">
        <v>109</v>
      </c>
      <c r="H2" s="179"/>
      <c r="I2" s="179"/>
      <c r="J2" s="179"/>
      <c r="K2" s="179"/>
      <c r="L2" s="179"/>
      <c r="M2" s="179"/>
      <c r="N2" s="180"/>
    </row>
    <row r="3" spans="2:14" ht="4.5" customHeight="1" x14ac:dyDescent="0.25">
      <c r="B3" s="22"/>
      <c r="C3" s="23"/>
      <c r="D3" s="23"/>
      <c r="E3" s="24"/>
      <c r="G3" s="22"/>
      <c r="H3" s="23"/>
      <c r="I3" s="23"/>
      <c r="J3" s="23"/>
      <c r="K3" s="23"/>
      <c r="L3" s="23"/>
      <c r="M3" s="23"/>
      <c r="N3" s="24"/>
    </row>
    <row r="4" spans="2:14" ht="15.75" x14ac:dyDescent="0.25">
      <c r="B4" s="181" t="s">
        <v>33</v>
      </c>
      <c r="C4" s="182"/>
      <c r="D4" s="29"/>
      <c r="E4" s="30"/>
      <c r="G4" s="183" t="s">
        <v>30</v>
      </c>
      <c r="H4" s="175"/>
      <c r="I4" s="29"/>
      <c r="J4" s="29"/>
      <c r="K4" s="29"/>
      <c r="L4" s="29"/>
      <c r="M4" s="29"/>
      <c r="N4" s="30"/>
    </row>
    <row r="5" spans="2:14" x14ac:dyDescent="0.25">
      <c r="B5" s="13" t="s">
        <v>15</v>
      </c>
      <c r="C5" s="8" t="s">
        <v>38</v>
      </c>
      <c r="D5" s="184" t="s">
        <v>41</v>
      </c>
      <c r="E5" s="185"/>
      <c r="G5" s="13" t="s">
        <v>5</v>
      </c>
      <c r="H5" s="8" t="s">
        <v>38</v>
      </c>
      <c r="I5" s="29"/>
      <c r="J5" s="29"/>
      <c r="K5" s="29"/>
      <c r="L5" s="29"/>
      <c r="M5" s="29"/>
      <c r="N5" s="30"/>
    </row>
    <row r="6" spans="2:14" ht="15.75" x14ac:dyDescent="0.25">
      <c r="B6" s="31" t="s">
        <v>0</v>
      </c>
      <c r="C6" s="78">
        <v>0</v>
      </c>
      <c r="D6" s="193" t="str">
        <f>IF(C6&gt;700,"не рекомендуем","допустимо")</f>
        <v>допустимо</v>
      </c>
      <c r="E6" s="194"/>
      <c r="G6" s="32" t="s">
        <v>40</v>
      </c>
      <c r="H6" s="33">
        <f>C6</f>
        <v>0</v>
      </c>
      <c r="K6" s="29"/>
      <c r="L6" s="29"/>
      <c r="M6" s="29"/>
      <c r="N6" s="30"/>
    </row>
    <row r="7" spans="2:14" ht="15.75" x14ac:dyDescent="0.25">
      <c r="B7" s="31" t="s">
        <v>1</v>
      </c>
      <c r="C7" s="78">
        <v>0</v>
      </c>
      <c r="D7" s="193" t="str">
        <f>IF(C7&gt;2700,"не рекомендуем","допустимо")</f>
        <v>допустимо</v>
      </c>
      <c r="E7" s="194"/>
      <c r="G7" s="32" t="s">
        <v>39</v>
      </c>
      <c r="H7" s="33">
        <f>I10</f>
        <v>-79</v>
      </c>
      <c r="I7" s="29"/>
      <c r="J7" s="29"/>
      <c r="K7" s="29"/>
      <c r="L7" s="29"/>
      <c r="M7" s="29"/>
      <c r="N7" s="30"/>
    </row>
    <row r="8" spans="2:14" ht="15.75" x14ac:dyDescent="0.25">
      <c r="B8" s="31" t="s">
        <v>2</v>
      </c>
      <c r="C8" s="79">
        <v>0</v>
      </c>
      <c r="D8" s="190" t="s">
        <v>32</v>
      </c>
      <c r="E8" s="191"/>
      <c r="G8" s="183" t="s">
        <v>25</v>
      </c>
      <c r="H8" s="175"/>
      <c r="I8" s="175"/>
      <c r="J8" s="175"/>
      <c r="K8" s="29"/>
      <c r="L8" s="175" t="s">
        <v>47</v>
      </c>
      <c r="M8" s="175"/>
      <c r="N8" s="176"/>
    </row>
    <row r="9" spans="2:14" x14ac:dyDescent="0.25">
      <c r="B9" s="31" t="s">
        <v>3</v>
      </c>
      <c r="C9" s="80">
        <v>0</v>
      </c>
      <c r="D9" s="190" t="s">
        <v>42</v>
      </c>
      <c r="E9" s="191"/>
      <c r="G9" s="13" t="s">
        <v>5</v>
      </c>
      <c r="H9" s="8" t="s">
        <v>6</v>
      </c>
      <c r="I9" s="8" t="s">
        <v>22</v>
      </c>
      <c r="J9" s="8" t="s">
        <v>24</v>
      </c>
      <c r="K9" s="29"/>
      <c r="L9" s="8" t="s">
        <v>5</v>
      </c>
      <c r="M9" s="8" t="s">
        <v>6</v>
      </c>
      <c r="N9" s="18" t="s">
        <v>23</v>
      </c>
    </row>
    <row r="10" spans="2:14" x14ac:dyDescent="0.25">
      <c r="B10" s="31" t="s">
        <v>4</v>
      </c>
      <c r="C10" s="80">
        <v>0</v>
      </c>
      <c r="D10" s="190" t="s">
        <v>42</v>
      </c>
      <c r="E10" s="191"/>
      <c r="G10" s="34" t="s">
        <v>7</v>
      </c>
      <c r="H10" s="35" t="s">
        <v>8</v>
      </c>
      <c r="I10" s="36">
        <f>IF(AND(C9=1,C10=1),C7-45,IF(C9=1,C7-45,IF(C10=1,C7-45,C7-79)))</f>
        <v>-79</v>
      </c>
      <c r="J10" s="37">
        <f>IF(C7=0,0,2)</f>
        <v>0</v>
      </c>
      <c r="K10" s="29"/>
      <c r="L10" s="38" t="s">
        <v>43</v>
      </c>
      <c r="M10" s="39" t="s">
        <v>44</v>
      </c>
      <c r="N10" s="15">
        <f>IF(C9=1,0.5,IF(AND(C9=1,C10=1),0.5,1))</f>
        <v>1</v>
      </c>
    </row>
    <row r="11" spans="2:14" x14ac:dyDescent="0.25">
      <c r="B11" s="32" t="s">
        <v>35</v>
      </c>
      <c r="C11" s="80">
        <v>0</v>
      </c>
      <c r="D11" s="190" t="s">
        <v>42</v>
      </c>
      <c r="E11" s="191"/>
      <c r="G11" s="34" t="s">
        <v>9</v>
      </c>
      <c r="H11" s="35" t="s">
        <v>10</v>
      </c>
      <c r="I11" s="36">
        <f>C6-78</f>
        <v>-78</v>
      </c>
      <c r="J11" s="37">
        <f>IF(C6=0,0,1)</f>
        <v>0</v>
      </c>
      <c r="K11" s="29"/>
      <c r="L11" s="38" t="s">
        <v>45</v>
      </c>
      <c r="M11" s="40"/>
      <c r="N11" s="16">
        <f>N12</f>
        <v>0</v>
      </c>
    </row>
    <row r="12" spans="2:14" x14ac:dyDescent="0.25">
      <c r="B12" s="32" t="s">
        <v>36</v>
      </c>
      <c r="C12" s="80">
        <v>0</v>
      </c>
      <c r="D12" s="190" t="s">
        <v>42</v>
      </c>
      <c r="E12" s="191"/>
      <c r="G12" s="34" t="s">
        <v>11</v>
      </c>
      <c r="H12" s="35" t="s">
        <v>12</v>
      </c>
      <c r="I12" s="36">
        <f>C6-78</f>
        <v>-78</v>
      </c>
      <c r="J12" s="37">
        <f>IF(C6=0,0,1)</f>
        <v>0</v>
      </c>
      <c r="K12" s="29"/>
      <c r="L12" s="38" t="s">
        <v>46</v>
      </c>
      <c r="M12" s="40"/>
      <c r="N12" s="16">
        <f>J11*2+J12*2+J13*2</f>
        <v>0</v>
      </c>
    </row>
    <row r="13" spans="2:14" ht="15.75" thickBot="1" x14ac:dyDescent="0.3">
      <c r="B13" s="41" t="s">
        <v>37</v>
      </c>
      <c r="C13" s="81">
        <v>0</v>
      </c>
      <c r="D13" s="196" t="s">
        <v>42</v>
      </c>
      <c r="E13" s="197"/>
      <c r="G13" s="34" t="s">
        <v>13</v>
      </c>
      <c r="H13" s="35" t="s">
        <v>14</v>
      </c>
      <c r="I13" s="36" t="str">
        <f>IF(C8&gt;0,C6-78,"нет")</f>
        <v>нет</v>
      </c>
      <c r="J13" s="37">
        <f>C8</f>
        <v>0</v>
      </c>
      <c r="K13" s="29"/>
      <c r="L13" s="38" t="s">
        <v>48</v>
      </c>
      <c r="M13" s="38"/>
      <c r="N13" s="17">
        <f>IF(C12=1,(J11+J13+J13*2)*I20+J10*J20,IF(C13=1,(J11+J12+J12*2)*I21+J10*J21,0))</f>
        <v>0</v>
      </c>
    </row>
    <row r="14" spans="2:14" ht="15.75" x14ac:dyDescent="0.25">
      <c r="B14" s="174" t="s">
        <v>107</v>
      </c>
      <c r="C14" s="174"/>
      <c r="D14" s="174"/>
      <c r="E14" s="174"/>
      <c r="G14" s="34" t="s">
        <v>16</v>
      </c>
      <c r="H14" s="35" t="s">
        <v>17</v>
      </c>
      <c r="I14" s="36" t="str">
        <f>IF(C10=1,C6-90,"нет")</f>
        <v>нет</v>
      </c>
      <c r="J14" s="37">
        <f>IF(C10=0,0,1)</f>
        <v>0</v>
      </c>
      <c r="K14" s="29"/>
      <c r="L14" s="29"/>
      <c r="M14" s="29"/>
      <c r="N14" s="30"/>
    </row>
    <row r="15" spans="2:14" x14ac:dyDescent="0.25">
      <c r="B15" s="173" t="s">
        <v>106</v>
      </c>
      <c r="C15" s="173"/>
      <c r="D15" s="173"/>
      <c r="E15" s="173"/>
      <c r="G15" s="34" t="s">
        <v>18</v>
      </c>
      <c r="H15" s="35" t="s">
        <v>19</v>
      </c>
      <c r="I15" s="36" t="str">
        <f>IF(C10=1,C6,"нет")</f>
        <v>нет</v>
      </c>
      <c r="J15" s="37">
        <f>IF(C10=0,0,2)</f>
        <v>0</v>
      </c>
      <c r="K15" s="29"/>
      <c r="L15" s="29"/>
      <c r="M15" s="29"/>
      <c r="N15" s="30"/>
    </row>
    <row r="16" spans="2:14" x14ac:dyDescent="0.25">
      <c r="B16" s="173"/>
      <c r="C16" s="173"/>
      <c r="D16" s="173"/>
      <c r="E16" s="173"/>
      <c r="G16" s="34" t="s">
        <v>20</v>
      </c>
      <c r="H16" s="35" t="s">
        <v>21</v>
      </c>
      <c r="I16" s="36" t="str">
        <f>IF(C9=1,C6-90,"нет")</f>
        <v>нет</v>
      </c>
      <c r="J16" s="37">
        <f>IF(C9=0,0,1)</f>
        <v>0</v>
      </c>
      <c r="K16" s="29"/>
      <c r="L16" s="29"/>
      <c r="M16" s="29"/>
      <c r="N16" s="30"/>
    </row>
    <row r="17" spans="2:14" ht="15.75" x14ac:dyDescent="0.25">
      <c r="B17" s="173"/>
      <c r="C17" s="173"/>
      <c r="D17" s="173"/>
      <c r="E17" s="173"/>
      <c r="G17" s="183" t="s">
        <v>34</v>
      </c>
      <c r="H17" s="175"/>
      <c r="I17" s="175"/>
      <c r="J17" s="175"/>
      <c r="K17" s="29"/>
      <c r="L17" s="29"/>
      <c r="M17" s="29"/>
      <c r="N17" s="30"/>
    </row>
    <row r="18" spans="2:14" ht="17.25" x14ac:dyDescent="0.25">
      <c r="G18" s="13" t="s">
        <v>26</v>
      </c>
      <c r="H18" s="8" t="s">
        <v>31</v>
      </c>
      <c r="I18" s="8" t="s">
        <v>84</v>
      </c>
      <c r="J18" s="8" t="s">
        <v>85</v>
      </c>
      <c r="K18" s="29"/>
      <c r="L18" s="29"/>
      <c r="M18" s="29"/>
      <c r="N18" s="30"/>
    </row>
    <row r="19" spans="2:14" x14ac:dyDescent="0.25">
      <c r="G19" s="34" t="s">
        <v>27</v>
      </c>
      <c r="H19" s="37">
        <f>IF(C11=1,C8+1,0)</f>
        <v>0</v>
      </c>
      <c r="I19" s="42">
        <f>IF(C11=1,H6-60,0)</f>
        <v>0</v>
      </c>
      <c r="J19" s="43">
        <f>IF(C11=1,(H7-44-8*C8),0)</f>
        <v>0</v>
      </c>
      <c r="K19" s="29"/>
      <c r="L19" s="29"/>
      <c r="M19" s="29"/>
      <c r="N19" s="30"/>
    </row>
    <row r="20" spans="2:14" x14ac:dyDescent="0.25">
      <c r="G20" s="34" t="s">
        <v>28</v>
      </c>
      <c r="H20" s="37">
        <f>IF(C12=1,C8+1,0)</f>
        <v>0</v>
      </c>
      <c r="I20" s="42">
        <f>IF(C12=1,H6-62,0)</f>
        <v>0</v>
      </c>
      <c r="J20" s="43">
        <f>IF(C12=1,(H7-46-10*C8),0)</f>
        <v>0</v>
      </c>
      <c r="K20" s="29"/>
      <c r="L20" s="29"/>
      <c r="M20" s="29"/>
      <c r="N20" s="30"/>
    </row>
    <row r="21" spans="2:14" ht="15.75" thickBot="1" x14ac:dyDescent="0.3">
      <c r="G21" s="44" t="s">
        <v>29</v>
      </c>
      <c r="H21" s="45">
        <f>IF(C13=1,C8+1,0)</f>
        <v>0</v>
      </c>
      <c r="I21" s="46">
        <f>IF(C13=1,H6-63,0)</f>
        <v>0</v>
      </c>
      <c r="J21" s="47">
        <f>IF(C13=1,(H7-47-11*C8),0)</f>
        <v>0</v>
      </c>
      <c r="K21" s="48"/>
      <c r="L21" s="48"/>
      <c r="M21" s="48"/>
      <c r="N21" s="49"/>
    </row>
    <row r="26" spans="2:14" x14ac:dyDescent="0.25">
      <c r="N26" s="75" t="s">
        <v>103</v>
      </c>
    </row>
  </sheetData>
  <sheetProtection password="CC59" sheet="1" objects="1" scenarios="1"/>
  <mergeCells count="19">
    <mergeCell ref="B15:E17"/>
    <mergeCell ref="B14:E14"/>
    <mergeCell ref="D11:E11"/>
    <mergeCell ref="G17:J17"/>
    <mergeCell ref="G4:H4"/>
    <mergeCell ref="D8:E8"/>
    <mergeCell ref="B1:N1"/>
    <mergeCell ref="D12:E12"/>
    <mergeCell ref="D13:E13"/>
    <mergeCell ref="L8:N8"/>
    <mergeCell ref="G8:J8"/>
    <mergeCell ref="B4:C4"/>
    <mergeCell ref="D6:E6"/>
    <mergeCell ref="D7:E7"/>
    <mergeCell ref="D5:E5"/>
    <mergeCell ref="B2:E2"/>
    <mergeCell ref="G2:N2"/>
    <mergeCell ref="D9:E9"/>
    <mergeCell ref="D10:E10"/>
  </mergeCells>
  <conditionalFormatting sqref="C9:C13">
    <cfRule type="iconSet" priority="9">
      <iconSet iconSet="3Symbols2" showValue="0">
        <cfvo type="percent" val="0"/>
        <cfvo type="num" val="0" gte="0"/>
        <cfvo type="num" val="1"/>
      </iconSet>
    </cfRule>
    <cfRule type="iconSet" priority="10">
      <iconSet showValue="0">
        <cfvo type="percent" val="0"/>
        <cfvo type="num" val="0" gte="0"/>
        <cfvo type="num" val="1"/>
      </iconSet>
    </cfRule>
  </conditionalFormatting>
  <conditionalFormatting sqref="D6:E13">
    <cfRule type="cellIs" dxfId="14" priority="8" operator="equal">
      <formula>"не рекомендуем"</formula>
    </cfRule>
  </conditionalFormatting>
  <conditionalFormatting sqref="N10:N12 H6:H7">
    <cfRule type="expression" dxfId="13" priority="7">
      <formula>$C$6=0</formula>
    </cfRule>
  </conditionalFormatting>
  <conditionalFormatting sqref="H19:J21">
    <cfRule type="expression" dxfId="12" priority="6">
      <formula>$C$6=0</formula>
    </cfRule>
  </conditionalFormatting>
  <conditionalFormatting sqref="I10:J16">
    <cfRule type="expression" dxfId="11" priority="5">
      <formula>$C$6=0</formula>
    </cfRule>
  </conditionalFormatting>
  <conditionalFormatting sqref="C6:C13">
    <cfRule type="cellIs" dxfId="10" priority="3" operator="greaterThan">
      <formula>0</formula>
    </cfRule>
  </conditionalFormatting>
  <conditionalFormatting sqref="N13">
    <cfRule type="expression" dxfId="9" priority="2">
      <formula>$C$6=0</formula>
    </cfRule>
  </conditionalFormatting>
  <conditionalFormatting sqref="D6:E7">
    <cfRule type="expression" dxfId="8" priority="1">
      <formula>$C6=0</formula>
    </cfRule>
  </conditionalFormatting>
  <hyperlinks>
    <hyperlink ref="N26" location="ОГЛАВЛЕНИЕ!A1" display="оглавление"/>
  </hyperlink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83" orientation="landscape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1"/>
    <pageSetUpPr fitToPage="1"/>
  </sheetPr>
  <dimension ref="B1:N32"/>
  <sheetViews>
    <sheetView zoomScaleNormal="100" zoomScalePageLayoutView="110" workbookViewId="0">
      <selection activeCell="C6" sqref="C6"/>
    </sheetView>
  </sheetViews>
  <sheetFormatPr defaultColWidth="8.85546875" defaultRowHeight="15" x14ac:dyDescent="0.25"/>
  <cols>
    <col min="1" max="1" width="1" style="123" customWidth="1"/>
    <col min="2" max="2" width="19" style="123" bestFit="1" customWidth="1"/>
    <col min="3" max="3" width="10.85546875" style="123" bestFit="1" customWidth="1"/>
    <col min="4" max="4" width="11" style="123" customWidth="1"/>
    <col min="5" max="5" width="9.85546875" style="123" bestFit="1" customWidth="1"/>
    <col min="6" max="6" width="1.28515625" style="123" customWidth="1"/>
    <col min="7" max="7" width="21.28515625" style="123" customWidth="1"/>
    <col min="8" max="8" width="9.85546875" style="123" bestFit="1" customWidth="1"/>
    <col min="9" max="9" width="9.7109375" style="123" bestFit="1" customWidth="1"/>
    <col min="10" max="10" width="11.28515625" style="123" bestFit="1" customWidth="1"/>
    <col min="11" max="11" width="1.140625" style="128" customWidth="1"/>
    <col min="12" max="12" width="41.140625" style="123" customWidth="1"/>
    <col min="13" max="13" width="11.5703125" style="123" customWidth="1"/>
    <col min="14" max="14" width="10.42578125" style="123" bestFit="1" customWidth="1"/>
    <col min="15" max="16384" width="8.85546875" style="123"/>
  </cols>
  <sheetData>
    <row r="1" spans="2:14" ht="19.5" thickBot="1" x14ac:dyDescent="0.3">
      <c r="B1" s="200" t="s">
        <v>86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2:14" s="124" customFormat="1" x14ac:dyDescent="0.25">
      <c r="B2" s="201" t="s">
        <v>108</v>
      </c>
      <c r="C2" s="202"/>
      <c r="D2" s="202"/>
      <c r="E2" s="203"/>
      <c r="G2" s="201" t="s">
        <v>109</v>
      </c>
      <c r="H2" s="202"/>
      <c r="I2" s="202"/>
      <c r="J2" s="202"/>
      <c r="K2" s="202"/>
      <c r="L2" s="202"/>
      <c r="M2" s="202"/>
      <c r="N2" s="203"/>
    </row>
    <row r="3" spans="2:14" ht="4.5" customHeight="1" x14ac:dyDescent="0.25">
      <c r="B3" s="125"/>
      <c r="C3" s="126"/>
      <c r="D3" s="126"/>
      <c r="E3" s="127"/>
      <c r="F3" s="128"/>
      <c r="G3" s="125"/>
      <c r="H3" s="126"/>
      <c r="I3" s="126"/>
      <c r="J3" s="126"/>
      <c r="K3" s="126"/>
      <c r="L3" s="126"/>
      <c r="M3" s="126"/>
      <c r="N3" s="127"/>
    </row>
    <row r="4" spans="2:14" s="131" customFormat="1" ht="15.75" x14ac:dyDescent="0.25">
      <c r="B4" s="204" t="s">
        <v>33</v>
      </c>
      <c r="C4" s="205"/>
      <c r="D4" s="129"/>
      <c r="E4" s="130"/>
      <c r="G4" s="206" t="s">
        <v>51</v>
      </c>
      <c r="H4" s="198"/>
      <c r="I4" s="129"/>
      <c r="J4" s="129"/>
      <c r="K4" s="129"/>
      <c r="L4" s="129"/>
      <c r="M4" s="129"/>
      <c r="N4" s="130"/>
    </row>
    <row r="5" spans="2:14" x14ac:dyDescent="0.25">
      <c r="B5" s="132" t="s">
        <v>15</v>
      </c>
      <c r="C5" s="133" t="s">
        <v>38</v>
      </c>
      <c r="D5" s="207" t="s">
        <v>41</v>
      </c>
      <c r="E5" s="208"/>
      <c r="G5" s="132" t="s">
        <v>5</v>
      </c>
      <c r="H5" s="133" t="s">
        <v>38</v>
      </c>
      <c r="I5" s="134"/>
      <c r="J5" s="134"/>
      <c r="K5" s="134"/>
      <c r="L5" s="134"/>
      <c r="M5" s="134"/>
      <c r="N5" s="135"/>
    </row>
    <row r="6" spans="2:14" ht="15.75" x14ac:dyDescent="0.25">
      <c r="B6" s="136" t="s">
        <v>0</v>
      </c>
      <c r="C6" s="78">
        <v>0</v>
      </c>
      <c r="D6" s="209" t="str">
        <f>IF(OR(C6&gt;1222,C6&lt;600),"не рекомендуем","допустимо")</f>
        <v>не рекомендуем</v>
      </c>
      <c r="E6" s="210"/>
      <c r="G6" s="137" t="s">
        <v>69</v>
      </c>
      <c r="H6" s="83">
        <f>IF(C6&lt;600,0,(C6-10-10-2)/2)</f>
        <v>0</v>
      </c>
      <c r="I6" s="138"/>
      <c r="J6" s="138"/>
      <c r="K6" s="134"/>
      <c r="L6" s="134"/>
      <c r="M6" s="134"/>
      <c r="N6" s="135"/>
    </row>
    <row r="7" spans="2:14" ht="15.75" x14ac:dyDescent="0.25">
      <c r="B7" s="136" t="s">
        <v>1</v>
      </c>
      <c r="C7" s="78">
        <v>0</v>
      </c>
      <c r="D7" s="209" t="str">
        <f>IF(C7&gt;2665,"не рекомендуем","допустимо")</f>
        <v>допустимо</v>
      </c>
      <c r="E7" s="210"/>
      <c r="G7" s="137" t="s">
        <v>68</v>
      </c>
      <c r="H7" s="83">
        <f>I10</f>
        <v>-75</v>
      </c>
      <c r="I7" s="134"/>
      <c r="J7" s="134"/>
      <c r="K7" s="134"/>
      <c r="L7" s="134"/>
      <c r="M7" s="134"/>
      <c r="N7" s="135"/>
    </row>
    <row r="8" spans="2:14" ht="15.75" x14ac:dyDescent="0.25">
      <c r="B8" s="136" t="s">
        <v>2</v>
      </c>
      <c r="C8" s="79">
        <v>0</v>
      </c>
      <c r="D8" s="211" t="s">
        <v>32</v>
      </c>
      <c r="E8" s="212"/>
      <c r="G8" s="206" t="s">
        <v>58</v>
      </c>
      <c r="H8" s="198"/>
      <c r="I8" s="198"/>
      <c r="J8" s="198"/>
      <c r="K8" s="129"/>
      <c r="L8" s="198" t="s">
        <v>59</v>
      </c>
      <c r="M8" s="198"/>
      <c r="N8" s="199"/>
    </row>
    <row r="9" spans="2:14" x14ac:dyDescent="0.25">
      <c r="B9" s="139" t="s">
        <v>71</v>
      </c>
      <c r="C9" s="80">
        <v>0</v>
      </c>
      <c r="D9" s="211" t="s">
        <v>42</v>
      </c>
      <c r="E9" s="212"/>
      <c r="G9" s="132" t="s">
        <v>5</v>
      </c>
      <c r="H9" s="133" t="s">
        <v>6</v>
      </c>
      <c r="I9" s="133" t="s">
        <v>22</v>
      </c>
      <c r="J9" s="133" t="s">
        <v>24</v>
      </c>
      <c r="K9" s="140"/>
      <c r="L9" s="133" t="s">
        <v>5</v>
      </c>
      <c r="M9" s="133" t="s">
        <v>6</v>
      </c>
      <c r="N9" s="141" t="s">
        <v>23</v>
      </c>
    </row>
    <row r="10" spans="2:14" x14ac:dyDescent="0.25">
      <c r="B10" s="139" t="s">
        <v>111</v>
      </c>
      <c r="C10" s="82">
        <f>IF(C9=1,0,1)</f>
        <v>1</v>
      </c>
      <c r="D10" s="211" t="s">
        <v>42</v>
      </c>
      <c r="E10" s="212"/>
      <c r="G10" s="142" t="s">
        <v>7</v>
      </c>
      <c r="H10" s="143" t="s">
        <v>8</v>
      </c>
      <c r="I10" s="84">
        <f>IF(C9=0,C7-75,C7-55)</f>
        <v>-75</v>
      </c>
      <c r="J10" s="85">
        <f>IF(C7=0,0,4)</f>
        <v>0</v>
      </c>
      <c r="K10" s="140"/>
      <c r="L10" s="144" t="s">
        <v>72</v>
      </c>
      <c r="M10" s="145" t="s">
        <v>73</v>
      </c>
      <c r="N10" s="93">
        <v>1</v>
      </c>
    </row>
    <row r="11" spans="2:14" x14ac:dyDescent="0.25">
      <c r="B11" s="137" t="s">
        <v>82</v>
      </c>
      <c r="C11" s="80">
        <v>0</v>
      </c>
      <c r="D11" s="211" t="s">
        <v>42</v>
      </c>
      <c r="E11" s="212"/>
      <c r="G11" s="142" t="s">
        <v>16</v>
      </c>
      <c r="H11" s="143" t="s">
        <v>17</v>
      </c>
      <c r="I11" s="84">
        <f>C6-2</f>
        <v>-2</v>
      </c>
      <c r="J11" s="85">
        <f>IF(C6=0,0,1)</f>
        <v>0</v>
      </c>
      <c r="K11" s="140"/>
      <c r="L11" s="146" t="s">
        <v>74</v>
      </c>
      <c r="M11" s="145" t="s">
        <v>75</v>
      </c>
      <c r="N11" s="93">
        <v>1</v>
      </c>
    </row>
    <row r="12" spans="2:14" x14ac:dyDescent="0.25">
      <c r="B12" s="137" t="s">
        <v>83</v>
      </c>
      <c r="C12" s="82">
        <f>IF(C11=1,0,1)</f>
        <v>1</v>
      </c>
      <c r="D12" s="211" t="s">
        <v>42</v>
      </c>
      <c r="E12" s="212"/>
      <c r="G12" s="147" t="s">
        <v>16</v>
      </c>
      <c r="H12" s="148" t="s">
        <v>70</v>
      </c>
      <c r="I12" s="86">
        <f>IF(C9=0,0,I11)</f>
        <v>0</v>
      </c>
      <c r="J12" s="87">
        <f>IF(C9=0,0,1)</f>
        <v>0</v>
      </c>
      <c r="K12" s="140"/>
      <c r="L12" s="146" t="s">
        <v>76</v>
      </c>
      <c r="M12" s="145" t="s">
        <v>77</v>
      </c>
      <c r="N12" s="93">
        <f>IF(C11=1,1,0)</f>
        <v>0</v>
      </c>
    </row>
    <row r="13" spans="2:14" x14ac:dyDescent="0.25">
      <c r="B13" s="137" t="s">
        <v>35</v>
      </c>
      <c r="C13" s="80">
        <v>0</v>
      </c>
      <c r="D13" s="211" t="s">
        <v>42</v>
      </c>
      <c r="E13" s="212"/>
      <c r="G13" s="147" t="s">
        <v>18</v>
      </c>
      <c r="H13" s="148" t="s">
        <v>19</v>
      </c>
      <c r="I13" s="86">
        <f>IF(C10=0,0,I11)</f>
        <v>-2</v>
      </c>
      <c r="J13" s="87">
        <f>IF(C10=0,0,1)</f>
        <v>1</v>
      </c>
      <c r="K13" s="134"/>
      <c r="L13" s="146" t="s">
        <v>78</v>
      </c>
      <c r="M13" s="145" t="s">
        <v>79</v>
      </c>
      <c r="N13" s="93">
        <f>IF(C12=1,1,0)</f>
        <v>1</v>
      </c>
    </row>
    <row r="14" spans="2:14" x14ac:dyDescent="0.25">
      <c r="B14" s="149" t="s">
        <v>36</v>
      </c>
      <c r="C14" s="104">
        <v>0</v>
      </c>
      <c r="D14" s="213" t="s">
        <v>42</v>
      </c>
      <c r="E14" s="214"/>
      <c r="G14" s="142" t="s">
        <v>9</v>
      </c>
      <c r="H14" s="143" t="s">
        <v>10</v>
      </c>
      <c r="I14" s="84">
        <f>H6-78</f>
        <v>-78</v>
      </c>
      <c r="J14" s="85">
        <f>IF(C6=0,0,2)</f>
        <v>0</v>
      </c>
      <c r="K14" s="140"/>
      <c r="L14" s="146" t="s">
        <v>80</v>
      </c>
      <c r="M14" s="145" t="s">
        <v>81</v>
      </c>
      <c r="N14" s="93">
        <v>2</v>
      </c>
    </row>
    <row r="15" spans="2:14" x14ac:dyDescent="0.25">
      <c r="B15" s="137" t="s">
        <v>37</v>
      </c>
      <c r="C15" s="80">
        <v>0</v>
      </c>
      <c r="D15" s="211" t="s">
        <v>42</v>
      </c>
      <c r="E15" s="212"/>
      <c r="G15" s="142" t="s">
        <v>11</v>
      </c>
      <c r="H15" s="143" t="s">
        <v>12</v>
      </c>
      <c r="I15" s="84">
        <f>H6-78</f>
        <v>-78</v>
      </c>
      <c r="J15" s="85">
        <f>IF(C6=0,0,2)</f>
        <v>0</v>
      </c>
      <c r="K15" s="140"/>
      <c r="L15" s="144" t="s">
        <v>63</v>
      </c>
      <c r="M15" s="145" t="s">
        <v>61</v>
      </c>
      <c r="N15" s="150">
        <v>1</v>
      </c>
    </row>
    <row r="16" spans="2:14" x14ac:dyDescent="0.25">
      <c r="B16" s="137" t="s">
        <v>121</v>
      </c>
      <c r="C16" s="80">
        <v>0</v>
      </c>
      <c r="D16" s="211" t="s">
        <v>42</v>
      </c>
      <c r="E16" s="212"/>
      <c r="G16" s="142" t="s">
        <v>13</v>
      </c>
      <c r="H16" s="143" t="s">
        <v>14</v>
      </c>
      <c r="I16" s="84" t="str">
        <f>IF(C8&gt;0,H6-78,"нет")</f>
        <v>нет</v>
      </c>
      <c r="J16" s="85">
        <f>C8*2</f>
        <v>0</v>
      </c>
      <c r="K16" s="140"/>
      <c r="L16" s="144" t="s">
        <v>64</v>
      </c>
      <c r="M16" s="145" t="s">
        <v>62</v>
      </c>
      <c r="N16" s="94">
        <v>2</v>
      </c>
    </row>
    <row r="17" spans="2:14" ht="15.75" thickBot="1" x14ac:dyDescent="0.3">
      <c r="B17" s="151" t="s">
        <v>119</v>
      </c>
      <c r="C17" s="82">
        <f>IF(C16=1,0,1)</f>
        <v>1</v>
      </c>
      <c r="D17" s="217" t="s">
        <v>42</v>
      </c>
      <c r="E17" s="218"/>
      <c r="G17" s="142" t="s">
        <v>55</v>
      </c>
      <c r="H17" s="143" t="s">
        <v>56</v>
      </c>
      <c r="I17" s="84">
        <f>IF(J17=0,0,540)</f>
        <v>0</v>
      </c>
      <c r="J17" s="85">
        <f>IF(C7=0,0,1)</f>
        <v>0</v>
      </c>
      <c r="K17" s="140"/>
      <c r="L17" s="144" t="s">
        <v>65</v>
      </c>
      <c r="M17" s="145" t="s">
        <v>66</v>
      </c>
      <c r="N17" s="150">
        <v>1</v>
      </c>
    </row>
    <row r="18" spans="2:14" ht="15" customHeight="1" x14ac:dyDescent="0.25">
      <c r="B18" s="216" t="s">
        <v>107</v>
      </c>
      <c r="C18" s="216"/>
      <c r="D18" s="216"/>
      <c r="E18" s="216"/>
      <c r="G18" s="152" t="s">
        <v>60</v>
      </c>
      <c r="H18" s="153"/>
      <c r="I18" s="153"/>
      <c r="J18" s="153"/>
      <c r="K18" s="140"/>
      <c r="L18" s="144" t="s">
        <v>45</v>
      </c>
      <c r="M18" s="154"/>
      <c r="N18" s="94">
        <f>J14*2+J15*2+J16*2</f>
        <v>0</v>
      </c>
    </row>
    <row r="19" spans="2:14" ht="14.25" customHeight="1" x14ac:dyDescent="0.25">
      <c r="B19" s="215" t="s">
        <v>106</v>
      </c>
      <c r="C19" s="215"/>
      <c r="D19" s="215"/>
      <c r="E19" s="215"/>
      <c r="G19" s="132" t="s">
        <v>26</v>
      </c>
      <c r="H19" s="133" t="s">
        <v>31</v>
      </c>
      <c r="I19" s="133" t="s">
        <v>84</v>
      </c>
      <c r="J19" s="133" t="s">
        <v>85</v>
      </c>
      <c r="K19" s="140"/>
      <c r="L19" s="144" t="s">
        <v>46</v>
      </c>
      <c r="M19" s="154"/>
      <c r="N19" s="94">
        <f>N18</f>
        <v>0</v>
      </c>
    </row>
    <row r="20" spans="2:14" ht="17.25" customHeight="1" x14ac:dyDescent="0.25">
      <c r="B20" s="215"/>
      <c r="C20" s="215"/>
      <c r="D20" s="215"/>
      <c r="E20" s="215"/>
      <c r="G20" s="142" t="s">
        <v>27</v>
      </c>
      <c r="H20" s="85">
        <f>IF(C13=1,C8+1,0)</f>
        <v>0</v>
      </c>
      <c r="I20" s="88">
        <f>IF(C13=1,H6-60,0)</f>
        <v>0</v>
      </c>
      <c r="J20" s="89">
        <f>IF(C13=1,(H7-44-8*C8),0)</f>
        <v>0</v>
      </c>
      <c r="K20" s="140"/>
      <c r="L20" s="144" t="s">
        <v>48</v>
      </c>
      <c r="M20" s="144"/>
      <c r="N20" s="95">
        <f>IF(C14=1,(J14+J15+J16*2)*I21+J10*J21,IF(C15=1,(J14+J15+J16*2)*I22+J10*J22,0))</f>
        <v>0</v>
      </c>
    </row>
    <row r="21" spans="2:14" x14ac:dyDescent="0.25">
      <c r="B21" s="215"/>
      <c r="C21" s="215"/>
      <c r="D21" s="215"/>
      <c r="E21" s="215"/>
      <c r="G21" s="142" t="s">
        <v>28</v>
      </c>
      <c r="H21" s="85">
        <f>IF(C14=1,C8+1,0)</f>
        <v>0</v>
      </c>
      <c r="I21" s="88">
        <f>IF(C14=1,H6-62,0)</f>
        <v>0</v>
      </c>
      <c r="J21" s="89">
        <f>IF(C14=1,(H7-46-10*C8),0)</f>
        <v>0</v>
      </c>
      <c r="K21" s="140"/>
      <c r="L21" s="144" t="s">
        <v>123</v>
      </c>
      <c r="M21" s="145" t="s">
        <v>120</v>
      </c>
      <c r="N21" s="112">
        <f>IF(AND(C16=1,H6&gt;0),J14+J15+J16,0)</f>
        <v>0</v>
      </c>
    </row>
    <row r="22" spans="2:14" ht="15.75" thickBot="1" x14ac:dyDescent="0.3">
      <c r="G22" s="155" t="s">
        <v>29</v>
      </c>
      <c r="H22" s="90">
        <f>IF(C15=1,C8+1,0)</f>
        <v>0</v>
      </c>
      <c r="I22" s="91">
        <f>IF(C15=1,H6-63,0)</f>
        <v>0</v>
      </c>
      <c r="J22" s="92">
        <f>IF(C15=1,(H7-47-11*C8),0)</f>
        <v>0</v>
      </c>
      <c r="K22" s="156"/>
      <c r="L22" s="157" t="s">
        <v>124</v>
      </c>
      <c r="M22" s="158" t="s">
        <v>122</v>
      </c>
      <c r="N22" s="113">
        <f>IF(AND(C17=1,H6&gt;0),J14+J15+J16,0)</f>
        <v>0</v>
      </c>
    </row>
    <row r="23" spans="2:14" x14ac:dyDescent="0.25">
      <c r="K23" s="140"/>
      <c r="L23" s="138"/>
      <c r="M23" s="138"/>
      <c r="N23" s="138"/>
    </row>
    <row r="24" spans="2:14" x14ac:dyDescent="0.25">
      <c r="K24" s="140"/>
      <c r="L24" s="134"/>
      <c r="M24" s="134"/>
      <c r="N24" s="134"/>
    </row>
    <row r="26" spans="2:14" x14ac:dyDescent="0.25">
      <c r="N26" s="159" t="s">
        <v>103</v>
      </c>
    </row>
    <row r="32" spans="2:14" x14ac:dyDescent="0.25">
      <c r="L32" s="160"/>
    </row>
  </sheetData>
  <sheetProtection password="CC59" sheet="1" objects="1" scenarios="1"/>
  <mergeCells count="22">
    <mergeCell ref="D13:E13"/>
    <mergeCell ref="D14:E14"/>
    <mergeCell ref="D9:E9"/>
    <mergeCell ref="D11:E11"/>
    <mergeCell ref="B19:E21"/>
    <mergeCell ref="D10:E10"/>
    <mergeCell ref="D15:E15"/>
    <mergeCell ref="B18:E18"/>
    <mergeCell ref="D12:E12"/>
    <mergeCell ref="D16:E16"/>
    <mergeCell ref="D17:E17"/>
    <mergeCell ref="L8:N8"/>
    <mergeCell ref="B1:N1"/>
    <mergeCell ref="B2:E2"/>
    <mergeCell ref="G2:N2"/>
    <mergeCell ref="B4:C4"/>
    <mergeCell ref="G4:H4"/>
    <mergeCell ref="D5:E5"/>
    <mergeCell ref="D6:E6"/>
    <mergeCell ref="D7:E7"/>
    <mergeCell ref="D8:E8"/>
    <mergeCell ref="G8:J8"/>
  </mergeCells>
  <conditionalFormatting sqref="D6:E8">
    <cfRule type="cellIs" dxfId="7" priority="18" operator="equal">
      <formula>"не рекомендуем"</formula>
    </cfRule>
  </conditionalFormatting>
  <conditionalFormatting sqref="C13:C17">
    <cfRule type="iconSet" priority="19">
      <iconSet iconSet="3Symbols2" showValue="0">
        <cfvo type="percent" val="0"/>
        <cfvo type="num" val="0" gte="0"/>
        <cfvo type="num" val="1"/>
      </iconSet>
    </cfRule>
    <cfRule type="iconSet" priority="20">
      <iconSet showValue="0">
        <cfvo type="percent" val="0"/>
        <cfvo type="num" val="0" gte="0"/>
        <cfvo type="num" val="1"/>
      </iconSet>
    </cfRule>
  </conditionalFormatting>
  <conditionalFormatting sqref="H6:H7 I10:J17 N10:N19">
    <cfRule type="expression" dxfId="6" priority="17">
      <formula>$C$6=0</formula>
    </cfRule>
  </conditionalFormatting>
  <conditionalFormatting sqref="D9:E10">
    <cfRule type="cellIs" dxfId="5" priority="13" operator="equal">
      <formula>"допуск превышен"</formula>
    </cfRule>
  </conditionalFormatting>
  <conditionalFormatting sqref="C9:C10">
    <cfRule type="iconSet" priority="14">
      <iconSet iconSet="3Symbols2" showValue="0">
        <cfvo type="percent" val="0"/>
        <cfvo type="num" val="0" gte="0"/>
        <cfvo type="num" val="1"/>
      </iconSet>
    </cfRule>
    <cfRule type="iconSet" priority="15">
      <iconSet showValue="0">
        <cfvo type="percent" val="0"/>
        <cfvo type="num" val="0" gte="0"/>
        <cfvo type="num" val="1"/>
      </iconSet>
    </cfRule>
  </conditionalFormatting>
  <conditionalFormatting sqref="D11:E17">
    <cfRule type="cellIs" dxfId="4" priority="10" operator="equal">
      <formula>"допуск превышен"</formula>
    </cfRule>
  </conditionalFormatting>
  <conditionalFormatting sqref="C11">
    <cfRule type="iconSet" priority="11">
      <iconSet iconSet="3Symbols2" showValue="0">
        <cfvo type="percent" val="0"/>
        <cfvo type="num" val="0" gte="0"/>
        <cfvo type="num" val="1"/>
      </iconSet>
    </cfRule>
    <cfRule type="iconSet" priority="12">
      <iconSet showValue="0">
        <cfvo type="percent" val="0"/>
        <cfvo type="num" val="0" gte="0"/>
        <cfvo type="num" val="1"/>
      </iconSet>
    </cfRule>
  </conditionalFormatting>
  <conditionalFormatting sqref="C12">
    <cfRule type="iconSet" priority="8">
      <iconSet iconSet="3Symbols2" showValue="0">
        <cfvo type="percent" val="0"/>
        <cfvo type="num" val="0" gte="0"/>
        <cfvo type="num" val="1"/>
      </iconSet>
    </cfRule>
    <cfRule type="iconSet" priority="9">
      <iconSet showValue="0">
        <cfvo type="percent" val="0"/>
        <cfvo type="num" val="0" gte="0"/>
        <cfvo type="num" val="1"/>
      </iconSet>
    </cfRule>
  </conditionalFormatting>
  <conditionalFormatting sqref="I20:J22">
    <cfRule type="expression" dxfId="3" priority="4">
      <formula>$C$6=0</formula>
    </cfRule>
  </conditionalFormatting>
  <conditionalFormatting sqref="C6:C17">
    <cfRule type="cellIs" dxfId="2" priority="3" operator="greaterThan">
      <formula>0</formula>
    </cfRule>
  </conditionalFormatting>
  <conditionalFormatting sqref="N10:N22">
    <cfRule type="expression" dxfId="1" priority="2">
      <formula>$C$6=0</formula>
    </cfRule>
  </conditionalFormatting>
  <conditionalFormatting sqref="D6:E7">
    <cfRule type="expression" dxfId="0" priority="1">
      <formula>$C6=0</formula>
    </cfRule>
  </conditionalFormatting>
  <hyperlinks>
    <hyperlink ref="N26" location="ОГЛАВЛЕНИЕ!A1" display="оглавление"/>
  </hyperlink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8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ОГЛАВЛЕНИЕ</vt:lpstr>
      <vt:lpstr>Подвесная</vt:lpstr>
      <vt:lpstr>Распашная</vt:lpstr>
      <vt:lpstr>Стационарная</vt:lpstr>
      <vt:lpstr>Складная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Pisarev</dc:creator>
  <cp:lastModifiedBy>Home</cp:lastModifiedBy>
  <cp:lastPrinted>2015-02-14T09:33:23Z</cp:lastPrinted>
  <dcterms:created xsi:type="dcterms:W3CDTF">2015-02-11T05:31:15Z</dcterms:created>
  <dcterms:modified xsi:type="dcterms:W3CDTF">2018-08-28T16:59:27Z</dcterms:modified>
</cp:coreProperties>
</file>